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to_zošit" defaultThemeVersion="124226"/>
  <mc:AlternateContent xmlns:mc="http://schemas.openxmlformats.org/markup-compatibility/2006">
    <mc:Choice Requires="x15">
      <x15ac:absPath xmlns:x15ac="http://schemas.microsoft.com/office/spreadsheetml/2010/11/ac" url="W:\Zuzana\MŠ SR\2026 Vyúčtovanie\"/>
    </mc:Choice>
  </mc:AlternateContent>
  <xr:revisionPtr revIDLastSave="0" documentId="13_ncr:1_{AE746363-6D50-4FD1-A83B-503A4ED2A127}" xr6:coauthVersionLast="47" xr6:coauthVersionMax="47" xr10:uidLastSave="{00000000-0000-0000-0000-000000000000}"/>
  <bookViews>
    <workbookView xWindow="-120" yWindow="-120" windowWidth="29040" windowHeight="1572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86" i="1" l="1"/>
  <c r="N486" i="1" s="1"/>
  <c r="J486" i="1"/>
  <c r="L486" i="1"/>
  <c r="I487" i="1"/>
  <c r="N487" i="1" s="1"/>
  <c r="J487" i="1"/>
  <c r="L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N494" i="1" s="1"/>
  <c r="J494" i="1"/>
  <c r="L494" i="1"/>
  <c r="I495" i="1"/>
  <c r="N495" i="1" s="1"/>
  <c r="J495" i="1"/>
  <c r="L495" i="1"/>
  <c r="I496" i="1"/>
  <c r="N496" i="1" s="1"/>
  <c r="J496" i="1"/>
  <c r="L496" i="1"/>
  <c r="I497" i="1"/>
  <c r="N497" i="1" s="1"/>
  <c r="J497" i="1"/>
  <c r="L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N115" i="1" s="1"/>
  <c r="J115" i="1"/>
  <c r="L115" i="1"/>
  <c r="I127" i="1"/>
  <c r="N127" i="1" s="1"/>
  <c r="J127" i="1"/>
  <c r="L127" i="1"/>
  <c r="I168" i="1"/>
  <c r="N168" i="1" s="1"/>
  <c r="J168" i="1"/>
  <c r="L168" i="1"/>
  <c r="I175" i="1"/>
  <c r="N175" i="1" s="1"/>
  <c r="J175" i="1"/>
  <c r="L175" i="1"/>
  <c r="I232" i="1"/>
  <c r="N232" i="1" s="1"/>
  <c r="J232" i="1"/>
  <c r="L232" i="1"/>
  <c r="I374" i="1"/>
  <c r="N374" i="1" s="1"/>
  <c r="J374" i="1"/>
  <c r="L374" i="1"/>
  <c r="I375" i="1"/>
  <c r="N375" i="1" s="1"/>
  <c r="J375" i="1"/>
  <c r="L375" i="1"/>
  <c r="I405" i="1"/>
  <c r="N405" i="1" s="1"/>
  <c r="J405" i="1"/>
  <c r="L405" i="1"/>
  <c r="I422" i="1"/>
  <c r="N422" i="1" s="1"/>
  <c r="J422" i="1"/>
  <c r="L422" i="1"/>
  <c r="I505" i="1"/>
  <c r="N505" i="1" s="1"/>
  <c r="J505" i="1"/>
  <c r="L505" i="1"/>
  <c r="I38" i="1"/>
  <c r="N38" i="1" s="1"/>
  <c r="J38" i="1"/>
  <c r="L38" i="1"/>
  <c r="I39" i="1"/>
  <c r="N39" i="1" s="1"/>
  <c r="J39" i="1"/>
  <c r="L39" i="1"/>
  <c r="I45" i="1"/>
  <c r="N45" i="1" s="1"/>
  <c r="J45" i="1"/>
  <c r="L45" i="1"/>
  <c r="I69" i="1"/>
  <c r="N69" i="1" s="1"/>
  <c r="J69" i="1"/>
  <c r="L69" i="1"/>
  <c r="I470" i="1"/>
  <c r="N470" i="1" s="1"/>
  <c r="J470" i="1"/>
  <c r="L470" i="1"/>
  <c r="I2" i="1"/>
  <c r="N2" i="1" s="1"/>
  <c r="J2" i="1"/>
  <c r="L2" i="1"/>
  <c r="I4" i="1"/>
  <c r="N4" i="1" s="1"/>
  <c r="J4" i="1"/>
  <c r="L4" i="1"/>
  <c r="I5" i="1"/>
  <c r="N5" i="1" s="1"/>
  <c r="J5" i="1"/>
  <c r="L5" i="1"/>
  <c r="I6" i="1"/>
  <c r="N6" i="1" s="1"/>
  <c r="J6" i="1"/>
  <c r="L6" i="1"/>
  <c r="I9" i="1"/>
  <c r="N9" i="1" s="1"/>
  <c r="J9" i="1"/>
  <c r="L9" i="1"/>
  <c r="I37" i="1"/>
  <c r="N37" i="1" s="1"/>
  <c r="J37" i="1"/>
  <c r="L37" i="1"/>
  <c r="I40" i="1"/>
  <c r="N40" i="1" s="1"/>
  <c r="J40" i="1"/>
  <c r="L40" i="1"/>
  <c r="I42" i="1"/>
  <c r="N42" i="1" s="1"/>
  <c r="J42" i="1"/>
  <c r="L42" i="1"/>
  <c r="I43" i="1"/>
  <c r="N43" i="1" s="1"/>
  <c r="J43" i="1"/>
  <c r="L43" i="1"/>
  <c r="I44" i="1"/>
  <c r="N44" i="1" s="1"/>
  <c r="J44" i="1"/>
  <c r="L44" i="1"/>
  <c r="I51" i="1"/>
  <c r="N51" i="1" s="1"/>
  <c r="J51" i="1"/>
  <c r="L51" i="1"/>
  <c r="I56" i="1"/>
  <c r="N56" i="1" s="1"/>
  <c r="J56" i="1"/>
  <c r="L56" i="1"/>
  <c r="I50" i="1"/>
  <c r="N50" i="1" s="1"/>
  <c r="J50" i="1"/>
  <c r="L50" i="1"/>
  <c r="I67" i="1"/>
  <c r="N67" i="1" s="1"/>
  <c r="J67" i="1"/>
  <c r="L67" i="1"/>
  <c r="I70" i="1"/>
  <c r="N70" i="1" s="1"/>
  <c r="J70" i="1"/>
  <c r="L70" i="1"/>
  <c r="I126" i="1"/>
  <c r="N126" i="1" s="1"/>
  <c r="J126" i="1"/>
  <c r="L126" i="1"/>
  <c r="I371" i="1"/>
  <c r="N371" i="1" s="1"/>
  <c r="J371" i="1"/>
  <c r="L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N242" i="1" s="1"/>
  <c r="J242" i="1"/>
  <c r="L242" i="1"/>
  <c r="I278" i="1"/>
  <c r="N278" i="1" s="1"/>
  <c r="J278" i="1"/>
  <c r="L278" i="1"/>
  <c r="I279" i="1"/>
  <c r="N279" i="1" s="1"/>
  <c r="J279" i="1"/>
  <c r="L279" i="1"/>
  <c r="I267" i="1"/>
  <c r="N267" i="1" s="1"/>
  <c r="J267" i="1"/>
  <c r="L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N275" i="1" s="1"/>
  <c r="J275" i="1"/>
  <c r="L275" i="1"/>
  <c r="I265" i="1"/>
  <c r="N265" i="1" s="1"/>
  <c r="J265" i="1"/>
  <c r="L265" i="1"/>
  <c r="I268" i="1"/>
  <c r="N268" i="1" s="1"/>
  <c r="J268" i="1"/>
  <c r="L268" i="1"/>
  <c r="I269" i="1"/>
  <c r="N269" i="1" s="1"/>
  <c r="J269" i="1"/>
  <c r="L269" i="1"/>
  <c r="I259" i="1"/>
  <c r="N259" i="1" s="1"/>
  <c r="J259" i="1"/>
  <c r="L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N263" i="1" s="1"/>
  <c r="J263" i="1"/>
  <c r="L263" i="1"/>
  <c r="I7" i="1"/>
  <c r="N7" i="1" s="1"/>
  <c r="J7" i="1"/>
  <c r="L7" i="1"/>
  <c r="I8" i="1"/>
  <c r="N8" i="1" s="1"/>
  <c r="J8" i="1"/>
  <c r="L8" i="1"/>
  <c r="I10" i="1"/>
  <c r="N10" i="1" s="1"/>
  <c r="J10" i="1"/>
  <c r="L10" i="1"/>
  <c r="I35" i="1"/>
  <c r="N35" i="1" s="1"/>
  <c r="J35" i="1"/>
  <c r="L35" i="1"/>
  <c r="I36" i="1"/>
  <c r="N36" i="1" s="1"/>
  <c r="J36" i="1"/>
  <c r="L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N125" i="1" s="1"/>
  <c r="J125" i="1"/>
  <c r="L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N531" i="1" s="1"/>
  <c r="J531" i="1"/>
  <c r="L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N542" i="1" s="1"/>
  <c r="J542" i="1"/>
  <c r="L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N550" i="1" s="1"/>
  <c r="J550" i="1"/>
  <c r="L550" i="1"/>
  <c r="I551" i="1"/>
  <c r="N551" i="1" s="1"/>
  <c r="J551" i="1"/>
  <c r="L551" i="1"/>
  <c r="I552" i="1"/>
  <c r="N552" i="1" s="1"/>
  <c r="J552" i="1"/>
  <c r="L552" i="1"/>
  <c r="I553" i="1"/>
  <c r="N553" i="1" s="1"/>
  <c r="J553" i="1"/>
  <c r="L553" i="1"/>
  <c r="I554" i="1"/>
  <c r="N554" i="1" s="1"/>
  <c r="J554" i="1"/>
  <c r="L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N567" i="1" s="1"/>
  <c r="J567" i="1"/>
  <c r="L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N584" i="1" s="1"/>
  <c r="J584" i="1"/>
  <c r="L584" i="1"/>
  <c r="I585" i="1"/>
  <c r="N585" i="1" s="1"/>
  <c r="J585" i="1"/>
  <c r="L585" i="1"/>
  <c r="I586" i="1"/>
  <c r="N586" i="1" s="1"/>
  <c r="J586" i="1"/>
  <c r="L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N615" i="1" s="1"/>
  <c r="J615" i="1"/>
  <c r="L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N638" i="1" s="1"/>
  <c r="J638" i="1"/>
  <c r="L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1"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0" i="1"/>
  <c r="L172"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1" i="1"/>
  <c r="J171"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0" i="1"/>
  <c r="J170" i="1"/>
  <c r="I172" i="1"/>
  <c r="J172"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0" i="1"/>
  <c r="M170"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1"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0"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2"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1" i="1"/>
  <c r="M171"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2" i="1"/>
  <c r="M172"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<sst xmlns="http://schemas.openxmlformats.org/spreadsheetml/2006/main" count="6444" uniqueCount="2948">
  <si>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</si>
  <si>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</si>
  <si>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</si>
  <si>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</si>
  <si>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</si>
  <si>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</si>
  <si>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</si>
  <si>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</si>
  <si>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</si>
  <si>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</si>
  <si>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</si>
  <si>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</si>
  <si>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</si>
  <si>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</si>
  <si>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</si>
  <si>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</si>
  <si>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</si>
  <si>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</si>
  <si>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</si>
  <si>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</si>
  <si>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</si>
  <si>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</si>
  <si>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</si>
  <si>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</si>
  <si>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</si>
  <si>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</si>
  <si>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</si>
  <si>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</si>
  <si>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</si>
  <si>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</si>
  <si>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</si>
  <si>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</si>
  <si>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</si>
  <si>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</si>
  <si>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</si>
  <si>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</si>
  <si>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</si>
  <si>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</si>
  <si>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</si>
  <si>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</si>
  <si>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</si>
  <si>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</si>
  <si>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</si>
  <si>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</si>
  <si>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</si>
  <si>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</si>
  <si>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</si>
  <si>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</si>
  <si>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</si>
  <si>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</si>
  <si>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</si>
  <si>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</si>
  <si>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</si>
  <si>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</si>
  <si>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</si>
  <si>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</si>
  <si>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</si>
  <si>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</si>
  <si>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</si>
  <si>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</si>
  <si>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</si>
  <si>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</si>
  <si>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</si>
  <si>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</si>
  <si>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</si>
  <si>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</si>
  <si>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</si>
  <si>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</si>
  <si>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</si>
  <si>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</si>
  <si>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</si>
  <si>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</si>
  <si>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</si>
  <si>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</si>
  <si>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</si>
  <si>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</si>
  <si>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</si>
  <si>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</si>
  <si>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</si>
  <si>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</si>
  <si>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</si>
  <si>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</si>
  <si>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</si>
  <si>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</si>
  <si>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</si>
  <si>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</si>
  <si>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</si>
  <si>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</si>
  <si>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</si>
  <si>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</si>
  <si>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</si>
  <si>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</si>
  <si>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</si>
  <si>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</si>
  <si>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</si>
  <si>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</si>
  <si>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</si>
  <si>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</si>
  <si>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</si>
  <si>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</si>
  <si>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</si>
  <si>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</si>
  <si>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</si>
  <si>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</si>
  <si>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</si>
  <si>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</si>
  <si>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</si>
  <si>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</si>
  <si>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</si>
  <si>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</si>
  <si>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</si>
  <si>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</si>
  <si>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</si>
  <si>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</si>
  <si>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</si>
  <si>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</si>
  <si>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</si>
  <si>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</si>
  <si>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</si>
  <si>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</si>
  <si>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</si>
  <si>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</si>
  <si>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</si>
  <si>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</si>
  <si>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</si>
  <si>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</si>
  <si>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</si>
  <si>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</si>
  <si>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</si>
  <si>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</si>
  <si>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</si>
  <si>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</si>
  <si>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</si>
  <si>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</si>
  <si>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</si>
  <si>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</si>
  <si>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</si>
  <si>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</si>
  <si>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</si>
  <si>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</si>
  <si>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</si>
  <si>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</si>
  <si>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</si>
  <si>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</si>
  <si>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</si>
  <si>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</si>
  <si>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</si>
  <si>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</si>
  <si>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</si>
  <si>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</si>
  <si>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</si>
  <si>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</si>
  <si>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</si>
  <si>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</si>
  <si>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</si>
  <si>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</si>
  <si>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</si>
  <si>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</si>
  <si>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</si>
  <si>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</si>
  <si>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</si>
  <si>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</si>
  <si>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</si>
  <si>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</si>
  <si>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</si>
  <si>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</si>
  <si>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</si>
  <si>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</si>
  <si>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</si>
  <si>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</si>
  <si>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</si>
  <si>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</si>
  <si>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</si>
  <si>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</si>
  <si>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</si>
  <si>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</si>
  <si>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</si>
  <si>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</si>
  <si>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</si>
  <si>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</si>
  <si>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</si>
  <si>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</si>
  <si>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</si>
  <si>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</si>
  <si>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</si>
  <si>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</si>
  <si>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</si>
  <si>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</si>
  <si>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</si>
  <si>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</si>
  <si>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</si>
  <si>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</si>
  <si>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</si>
  <si>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</si>
  <si>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</si>
  <si>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</si>
  <si>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</si>
  <si>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</si>
  <si>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</si>
  <si>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</si>
  <si>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</si>
  <si>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</si>
  <si>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</si>
  <si>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</si>
  <si>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</si>
  <si>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</si>
  <si>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</si>
  <si>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</si>
  <si>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</si>
  <si>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</si>
  <si>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</si>
  <si>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</si>
  <si>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</si>
  <si>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</si>
  <si>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</si>
  <si>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</si>
  <si>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</si>
  <si>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</si>
  <si>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</si>
  <si>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</si>
  <si>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</si>
  <si>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</si>
  <si>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</si>
  <si>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</si>
  <si>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</si>
  <si>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</si>
  <si>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</si>
  <si>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</si>
  <si>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</si>
  <si>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</si>
  <si>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</si>
  <si>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</si>
  <si>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</si>
  <si>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</si>
  <si>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</si>
  <si>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</si>
  <si>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</si>
  <si>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</si>
  <si>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</si>
  <si>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</si>
  <si>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</si>
  <si>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</si>
  <si>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</si>
  <si>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</si>
  <si>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</si>
  <si>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</si>
  <si>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</si>
  <si>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</si>
  <si>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</si>
  <si>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</si>
  <si>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</si>
  <si>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</si>
  <si>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</si>
  <si>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</si>
  <si>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</si>
  <si>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</si>
  <si>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</si>
  <si>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</si>
  <si>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</si>
  <si>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</si>
  <si>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</si>
  <si>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</si>
  <si>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</si>
  <si>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</si>
  <si>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</si>
  <si>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</si>
  <si>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</si>
  <si>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</si>
  <si>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</si>
  <si>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</si>
  <si>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</si>
  <si>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</si>
  <si>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</si>
  <si>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</si>
  <si>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</si>
  <si>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</si>
  <si>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</si>
  <si>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</si>
  <si>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</si>
  <si>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</si>
  <si>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</si>
  <si>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</si>
  <si>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</si>
  <si>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</si>
  <si>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</si>
  <si>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</si>
  <si>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</si>
  <si>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</si>
  <si>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</si>
  <si>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</si>
  <si>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</si>
  <si>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</si>
  <si>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</si>
  <si>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</si>
  <si>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</si>
  <si>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</si>
  <si>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</si>
  <si>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</si>
  <si>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</si>
  <si>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</si>
  <si>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</si>
  <si>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</si>
  <si>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</si>
  <si>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</si>
  <si>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</si>
  <si>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</si>
  <si>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</si>
  <si>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</si>
  <si>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</si>
  <si>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</si>
  <si>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</si>
  <si>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</si>
  <si>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</si>
  <si>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</si>
  <si>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</si>
  <si>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</si>
  <si>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</si>
  <si>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</si>
  <si>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</si>
  <si>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</si>
  <si>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</si>
  <si>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</si>
  <si>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</si>
  <si>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</si>
  <si>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</si>
  <si>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</si>
  <si>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</si>
  <si>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</si>
  <si>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</si>
  <si>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</si>
  <si>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</si>
  <si>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</si>
  <si>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</si>
  <si>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</si>
  <si>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</si>
  <si>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</si>
  <si>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</si>
  <si>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</si>
  <si>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</si>
  <si>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</si>
  <si>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</si>
  <si>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</si>
  <si>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</si>
  <si>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</si>
  <si>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</si>
  <si>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</si>
  <si>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</si>
  <si>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</si>
  <si>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</si>
  <si>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</si>
  <si>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</si>
  <si>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</si>
  <si>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</si>
  <si>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</si>
  <si>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</si>
  <si>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</si>
  <si>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</si>
  <si>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</si>
  <si>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</si>
  <si>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</si>
  <si>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</si>
  <si>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</si>
  <si>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</si>
  <si>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</si>
  <si>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</si>
  <si>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</si>
  <si>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</si>
  <si>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</si>
  <si>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</si>
  <si>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</si>
  <si>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</si>
  <si>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</si>
  <si>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</si>
  <si>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</si>
  <si>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</si>
  <si>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</si>
  <si>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</si>
  <si>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</si>
  <si>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</si>
  <si>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</si>
  <si>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</si>
  <si>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</si>
  <si>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</si>
  <si>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</si>
  <si>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</si>
  <si>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</si>
  <si>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</si>
  <si>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</si>
  <si>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</si>
  <si>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</si>
  <si>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</si>
  <si>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</si>
  <si>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</si>
  <si>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</si>
  <si>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</si>
  <si>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</si>
  <si>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</si>
  <si>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</si>
  <si>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</si>
  <si>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</si>
  <si>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</si>
  <si>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</si>
  <si>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</si>
  <si>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</si>
  <si>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</si>
  <si>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</si>
  <si>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</si>
  <si>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</si>
  <si>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</si>
  <si>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</si>
  <si>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</si>
  <si>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</si>
  <si>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</si>
  <si>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</si>
  <si>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</si>
  <si>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</si>
  <si>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</si>
  <si>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</si>
  <si>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</si>
  <si>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</si>
  <si>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</si>
  <si>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</si>
  <si>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</si>
  <si>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</si>
  <si>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</si>
  <si>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</si>
  <si>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</si>
  <si>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</si>
  <si>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</si>
  <si>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</si>
  <si>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</si>
  <si>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</si>
  <si>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</si>
  <si>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</si>
  <si>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</si>
  <si>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</si>
  <si>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</si>
  <si>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</si>
  <si>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</si>
  <si>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</si>
  <si>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</si>
  <si>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</si>
  <si>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</si>
  <si>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</si>
  <si>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</si>
  <si>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</si>
  <si>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</si>
  <si>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</si>
  <si>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</si>
  <si>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</si>
  <si>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</si>
  <si>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</si>
  <si>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</si>
  <si>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</si>
  <si>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</si>
  <si>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</si>
  <si>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</si>
  <si>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</si>
  <si>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</si>
  <si>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</si>
  <si>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</si>
  <si>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</si>
  <si>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</si>
  <si>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</si>
  <si>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</si>
  <si>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</si>
  <si>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</si>
  <si>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</si>
  <si>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</si>
  <si>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</si>
  <si>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</si>
  <si>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</si>
  <si>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</si>
  <si>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</si>
  <si>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</si>
  <si>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</si>
  <si>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</si>
  <si>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</si>
  <si>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</si>
  <si>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</si>
  <si>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</si>
  <si>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</si>
  <si>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</si>
  <si>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</si>
  <si>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</si>
  <si>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</si>
  <si>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</si>
  <si>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</si>
  <si>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</si>
  <si>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</si>
  <si>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</si>
  <si>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</si>
  <si>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</si>
  <si>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</si>
  <si>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</si>
  <si>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</si>
  <si>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</si>
  <si>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</si>
  <si>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</si>
  <si>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</si>
  <si>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</si>
  <si>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</si>
  <si>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</si>
  <si>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</si>
  <si>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</si>
  <si>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</si>
  <si>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</si>
  <si>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</si>
  <si>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</si>
  <si>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</si>
  <si>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</si>
  <si>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</si>
  <si>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</si>
  <si>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</si>
  <si>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</si>
  <si>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</si>
  <si>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</si>
  <si>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</si>
  <si>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</si>
  <si>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</si>
  <si>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</si>
  <si>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</si>
  <si>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</si>
  <si>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</si>
  <si>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</si>
  <si>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</si>
  <si>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</si>
  <si>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</si>
  <si>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</si>
  <si>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</si>
  <si>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</si>
  <si>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</si>
  <si>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</si>
  <si>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</si>
  <si>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</si>
  <si>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</si>
  <si>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</si>
  <si>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</si>
  <si>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</si>
  <si>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</si>
  <si>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</si>
  <si>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</si>
  <si>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</si>
  <si>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</si>
  <si>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</si>
  <si>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</si>
  <si>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</si>
  <si>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</si>
  <si>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</si>
  <si>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</si>
  <si>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</si>
  <si>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</si>
  <si>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</si>
  <si>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</si>
  <si>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</si>
  <si>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</si>
  <si>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</si>
  <si>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</si>
  <si>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</si>
  <si>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</si>
  <si>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</si>
  <si>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</si>
  <si>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</si>
  <si>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</si>
  <si>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</si>
  <si>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</si>
  <si>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</si>
  <si>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</si>
  <si>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</si>
  <si>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</si>
  <si>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</si>
  <si>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</si>
  <si>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</si>
  <si>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</si>
  <si>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</si>
  <si>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</si>
  <si>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</si>
  <si>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</si>
  <si>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</si>
  <si>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</si>
  <si>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</si>
  <si>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</si>
  <si>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</si>
  <si>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</si>
  <si>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</si>
  <si>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</si>
  <si>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</si>
  <si>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</si>
  <si>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</si>
  <si>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</si>
  <si>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</si>
  <si>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</si>
  <si>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</si>
  <si>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</si>
  <si>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</si>
  <si>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</si>
  <si>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</si>
  <si>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</si>
  <si>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</si>
  <si>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</si>
  <si>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</si>
  <si>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</si>
  <si>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</si>
  <si>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</si>
  <si>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</si>
  <si>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</si>
  <si>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</si>
  <si>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</si>
  <si>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</si>
  <si>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</si>
  <si>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</si>
  <si>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</si>
  <si>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</si>
  <si>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</si>
  <si>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</si>
  <si>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</si>
  <si>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</si>
  <si>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</si>
  <si>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</si>
  <si>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</si>
  <si>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</si>
  <si>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</si>
  <si>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</si>
  <si>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</si>
  <si>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</si>
  <si>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</si>
  <si>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</si>
  <si>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</si>
  <si>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</si>
  <si>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</si>
  <si>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</si>
  <si>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</si>
  <si>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</si>
  <si>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</si>
  <si>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</si>
  <si>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</si>
  <si>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</si>
  <si>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</si>
  <si>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</si>
  <si>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</si>
  <si>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</si>
  <si>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</si>
  <si>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</si>
  <si>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</si>
  <si>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</si>
  <si>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</si>
  <si>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</si>
  <si>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</si>
  <si>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</si>
  <si>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</si>
  <si>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</si>
  <si>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</si>
  <si>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</si>
  <si>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</si>
  <si>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</si>
  <si>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</si>
  <si>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</si>
  <si>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</si>
  <si>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</si>
  <si>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</si>
  <si>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</si>
  <si>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</si>
  <si>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</si>
  <si>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</si>
  <si>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</si>
  <si>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</si>
  <si>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</si>
  <si>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</si>
  <si>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</si>
  <si>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</si>
  <si>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</si>
  <si>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</si>
  <si>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</si>
  <si>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</si>
  <si>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</si>
  <si>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</si>
  <si>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</si>
  <si>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</si>
  <si>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</si>
  <si>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</si>
  <si>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</si>
  <si>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</si>
  <si>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</si>
  <si>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</si>
  <si>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</si>
  <si>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</si>
  <si>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</si>
  <si>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</si>
  <si>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</si>
  <si>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</si>
  <si>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</si>
  <si>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</si>
  <si>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</si>
  <si>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</si>
  <si>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</si>
  <si>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</si>
  <si>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</si>
  <si>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</si>
  <si>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</si>
  <si>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</si>
  <si>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</si>
  <si>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</si>
  <si>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</si>
  <si>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</si>
  <si>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</si>
  <si>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</si>
  <si>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</si>
  <si>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</si>
  <si>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</si>
  <si>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</si>
  <si>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</si>
  <si>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</si>
  <si>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</si>
  <si>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</si>
  <si>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</si>
  <si>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</si>
  <si>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</si>
  <si>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</si>
  <si>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</si>
  <si>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</si>
  <si>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</si>
  <si>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</si>
  <si>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</si>
  <si>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</si>
  <si>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</si>
  <si>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</si>
  <si>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</si>
  <si>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</si>
  <si>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</si>
  <si>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</si>
  <si>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</si>
  <si>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</si>
  <si>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</si>
  <si>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</si>
  <si>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</si>
  <si>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</si>
  <si>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</si>
  <si>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</si>
  <si>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</si>
  <si>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</si>
  <si>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</si>
  <si>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</si>
  <si>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</si>
  <si>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</si>
  <si>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</si>
  <si>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</si>
  <si>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</si>
  <si>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</si>
  <si>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</si>
  <si>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</si>
  <si>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</si>
  <si>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</si>
  <si>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</si>
  <si>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</si>
  <si>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</si>
  <si>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</si>
  <si>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</si>
  <si>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</si>
  <si>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</si>
  <si>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</si>
  <si>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</si>
  <si>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</si>
  <si>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</si>
  <si>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</si>
  <si>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</si>
  <si>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</si>
  <si>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</si>
  <si>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</si>
  <si>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</si>
  <si>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</si>
  <si>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</si>
  <si>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</si>
  <si>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</si>
  <si>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</si>
  <si>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</si>
  <si>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</si>
  <si>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</si>
  <si>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</si>
  <si>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</si>
  <si>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</si>
  <si>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</si>
  <si>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</si>
  <si>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</si>
  <si>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</si>
  <si>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</si>
  <si>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</si>
  <si>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</si>
  <si>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</si>
  <si>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</si>
  <si>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</si>
  <si>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</si>
  <si>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</si>
  <si>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</si>
  <si>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</si>
  <si>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</si>
  <si>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</si>
  <si>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</si>
  <si>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</si>
  <si>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</si>
  <si>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</si>
  <si>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</si>
  <si>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</si>
  <si>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</si>
  <si>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</si>
  <si>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</si>
  <si>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</si>
  <si>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</si>
  <si>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</si>
  <si>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</si>
  <si>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</si>
  <si>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</si>
  <si>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</si>
  <si>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</si>
  <si>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</si>
  <si>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</si>
  <si>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</si>
  <si>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</si>
  <si>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</si>
  <si>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</si>
  <si>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</si>
  <si>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</si>
  <si>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</si>
  <si>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</si>
  <si>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</si>
  <si>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</si>
  <si>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</si>
  <si>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</si>
  <si>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</si>
  <si>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</si>
  <si>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</si>
  <si>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</si>
  <si>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</si>
  <si>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</si>
  <si>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</si>
  <si>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</si>
  <si>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</si>
  <si>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</si>
  <si>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</si>
  <si>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</si>
  <si>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</si>
  <si>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</si>
  <si>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</si>
  <si>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</si>
  <si>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</si>
  <si>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</si>
  <si>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</si>
  <si>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</si>
  <si>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</si>
  <si>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</si>
  <si>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</si>
  <si>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</si>
  <si>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</si>
  <si>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</si>
  <si>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</si>
  <si>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</si>
  <si>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</si>
  <si>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</si>
  <si>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</si>
  <si>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</si>
  <si>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</si>
  <si>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</si>
  <si>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</si>
  <si>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</si>
  <si>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</si>
  <si>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</si>
  <si>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</si>
  <si>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</si>
  <si>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</si>
  <si>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</si>
  <si>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</si>
  <si>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</si>
  <si>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</si>
  <si>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</si>
  <si>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</si>
  <si>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</si>
  <si>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</si>
  <si>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</si>
  <si>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</si>
  <si>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</si>
  <si>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</si>
  <si>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</si>
  <si>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</si>
  <si>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</si>
  <si>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</si>
  <si>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</si>
  <si>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</si>
  <si>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</si>
  <si>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</si>
  <si>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</si>
  <si>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</si>
  <si>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</si>
  <si>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</si>
  <si>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</si>
  <si>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</si>
  <si>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</si>
  <si>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</si>
  <si>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</si>
  <si>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</si>
  <si>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</si>
  <si>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</si>
  <si>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</si>
  <si>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</si>
  <si>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</si>
  <si>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</si>
  <si>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</si>
  <si>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</si>
  <si>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</si>
  <si>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</si>
  <si>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</si>
  <si>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</si>
  <si>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</si>
  <si>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</si>
  <si>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</si>
  <si>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</si>
  <si>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</si>
  <si>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</si>
  <si>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</si>
  <si>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</si>
  <si>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</si>
  <si>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</si>
  <si>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</si>
  <si>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</si>
  <si>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</si>
  <si>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</si>
  <si>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</si>
  <si>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</si>
  <si>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</si>
  <si>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</si>
  <si>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</si>
  <si>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</si>
  <si>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</si>
  <si>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</si>
  <si>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</si>
  <si>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</si>
  <si>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</si>
  <si>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</si>
  <si>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</si>
  <si>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</si>
  <si>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</si>
  <si>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</si>
  <si>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</si>
  <si>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</si>
  <si>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</si>
  <si>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</si>
  <si>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</si>
  <si>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</si>
  <si>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</si>
  <si>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</si>
  <si>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</si>
  <si>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</si>
  <si>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</si>
  <si>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</si>
  <si>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</si>
  <si>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</si>
  <si>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</si>
  <si>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</si>
  <si>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</si>
  <si>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</si>
  <si>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</si>
  <si>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</si>
  <si>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</si>
  <si>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</si>
  <si>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</si>
  <si>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</si>
  <si>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</si>
  <si>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</si>
  <si>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</si>
  <si>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</si>
  <si>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</si>
  <si>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</si>
  <si>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</si>
  <si>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</si>
  <si>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</si>
  <si>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</si>
  <si>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</si>
  <si>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</si>
  <si>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</si>
  <si>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</si>
  <si>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</si>
  <si>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</si>
  <si>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</si>
  <si>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</si>
  <si>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</si>
  <si>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</si>
  <si>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</si>
  <si>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</si>
  <si>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</si>
  <si>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</si>
  <si>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</si>
  <si>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</si>
  <si>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</si>
  <si>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</si>
  <si>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</si>
  <si>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</si>
  <si>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</si>
  <si>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</si>
  <si>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</si>
  <si>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</si>
  <si>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</si>
  <si>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</si>
  <si>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</si>
  <si>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</si>
  <si>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</si>
  <si>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</si>
  <si>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</si>
  <si>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</si>
  <si>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</si>
  <si>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</si>
  <si>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</si>
  <si>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</si>
  <si>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</si>
  <si>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</si>
  <si>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</si>
  <si>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</si>
  <si>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</si>
  <si>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</si>
  <si>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</si>
  <si>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</si>
  <si>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</si>
  <si>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</si>
  <si>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</si>
  <si>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</si>
  <si>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</si>
  <si>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</si>
  <si>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</si>
  <si>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</si>
  <si>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</si>
  <si>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</si>
  <si>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</si>
  <si>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</si>
  <si>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</si>
  <si>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</si>
  <si>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</si>
  <si>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</si>
  <si>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</si>
  <si>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</si>
  <si>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</si>
  <si>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</si>
  <si>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</si>
  <si>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</si>
  <si>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</si>
  <si>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</si>
  <si>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</si>
  <si>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</si>
  <si>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</si>
  <si>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</si>
  <si>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</si>
  <si>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</si>
  <si>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</si>
  <si>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</si>
  <si>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</si>
  <si>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</si>
  <si>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</si>
  <si>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</si>
  <si>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</si>
  <si>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</si>
  <si>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</si>
  <si>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</si>
  <si>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</si>
  <si>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</si>
  <si>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</si>
  <si>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</si>
  <si>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</si>
  <si>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</si>
  <si>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</si>
  <si>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</si>
  <si>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</si>
  <si>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</si>
  <si>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</si>
  <si>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</si>
  <si>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</si>
  <si>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</si>
  <si>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</si>
  <si>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</si>
  <si>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</si>
  <si>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</si>
  <si>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</si>
  <si>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</si>
  <si>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</si>
  <si>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</si>
  <si>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</si>
  <si>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</si>
  <si>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</si>
  <si>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</si>
  <si>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</si>
  <si>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</si>
  <si>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</si>
  <si>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</si>
  <si>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</si>
  <si>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</si>
  <si>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</si>
  <si>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</si>
  <si>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</si>
  <si>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</si>
  <si>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</si>
  <si>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</si>
  <si>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</si>
  <si>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</si>
  <si>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</si>
  <si>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</si>
  <si>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</si>
  <si>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</si>
  <si>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</si>
  <si>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</si>
  <si>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</si>
  <si>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</si>
  <si>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</si>
  <si>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</si>
  <si>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</si>
  <si>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</si>
  <si>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</si>
  <si>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</si>
  <si>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</si>
  <si>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</si>
  <si>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</si>
  <si>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</si>
  <si>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</si>
  <si>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</si>
  <si>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</si>
  <si>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</si>
  <si>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</si>
  <si>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</si>
  <si>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</si>
  <si>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</si>
  <si>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</si>
  <si>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</si>
  <si>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</si>
  <si>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</si>
  <si>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</si>
  <si>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</si>
  <si>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</si>
  <si>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</si>
  <si>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</si>
  <si>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</si>
  <si>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</si>
  <si>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</si>
  <si>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</si>
  <si>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</si>
  <si>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</si>
  <si>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</si>
  <si>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</si>
  <si>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</si>
  <si>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</si>
  <si>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</si>
  <si>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</si>
  <si>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</si>
  <si>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</si>
  <si>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</si>
  <si>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</si>
  <si>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</si>
  <si>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</si>
  <si>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</si>
  <si>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</si>
  <si>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</si>
  <si>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</si>
  <si>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</si>
  <si>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</si>
  <si>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</si>
  <si>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</si>
  <si>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</si>
  <si>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</si>
  <si>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</si>
  <si>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</si>
  <si>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</si>
  <si>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</si>
  <si>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</si>
  <si>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</si>
  <si>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</si>
  <si>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</si>
  <si>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</si>
  <si>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</si>
  <si>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</si>
  <si>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</si>
  <si>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</si>
  <si>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</si>
  <si>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</si>
  <si>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</si>
  <si>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</si>
  <si>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</si>
  <si>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</si>
  <si>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</si>
  <si>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</si>
  <si>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</si>
  <si>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</si>
  <si>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</si>
  <si>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</si>
  <si>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</si>
  <si>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</si>
  <si>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</si>
  <si>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</si>
  <si>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</si>
  <si>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</si>
  <si>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</si>
  <si>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</si>
  <si>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</si>
  <si>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</si>
  <si>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</si>
  <si>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</si>
  <si>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</si>
  <si>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</si>
  <si>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</si>
  <si>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</si>
  <si>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</si>
  <si>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</si>
  <si>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</si>
  <si>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</si>
  <si>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</si>
  <si>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</si>
  <si>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</si>
  <si>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</si>
  <si>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</si>
  <si>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</si>
  <si>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</si>
  <si>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</si>
  <si>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</si>
  <si>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</si>
  <si>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</si>
  <si>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</si>
  <si>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</si>
  <si>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</si>
  <si>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</si>
  <si>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</si>
  <si>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</si>
  <si>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</si>
  <si>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</si>
  <si>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</si>
  <si>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</si>
  <si>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</si>
  <si>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</si>
  <si>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</si>
  <si>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</si>
  <si>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</si>
  <si>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</si>
  <si>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</si>
  <si>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</si>
  <si>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</si>
  <si>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</si>
  <si>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</si>
  <si>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</si>
  <si>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</si>
  <si>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</si>
  <si>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</si>
  <si>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</si>
  <si>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</si>
  <si>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</si>
  <si>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</si>
  <si>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</si>
  <si>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</si>
  <si>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</si>
  <si>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</si>
  <si>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</si>
  <si>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</si>
  <si>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</si>
  <si>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</si>
  <si>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</si>
  <si>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</si>
  <si>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</si>
  <si>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</si>
  <si>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</si>
  <si>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</si>
  <si>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</si>
  <si>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</si>
  <si>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</si>
  <si>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</si>
  <si>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</si>
  <si>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</si>
  <si>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</si>
  <si>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</si>
  <si>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</si>
  <si>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</si>
  <si>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</si>
  <si>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</si>
  <si>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</si>
  <si>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</si>
  <si>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</si>
  <si>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</si>
  <si>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</si>
  <si>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</si>
  <si>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</si>
  <si>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</si>
  <si>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</si>
  <si>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</si>
  <si>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</si>
  <si>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</si>
  <si>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</si>
  <si>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</si>
  <si>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</si>
  <si>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</si>
  <si>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</si>
  <si>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</si>
  <si>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</si>
  <si>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</si>
  <si>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</si>
  <si>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</si>
  <si>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</si>
  <si>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</si>
  <si>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</si>
  <si>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</si>
  <si>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</si>
  <si>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</si>
  <si>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</si>
  <si>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</si>
  <si>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</si>
  <si>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</si>
  <si>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</si>
  <si>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</si>
  <si>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</si>
  <si>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</si>
  <si>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</si>
  <si>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</si>
  <si>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</si>
  <si>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</si>
  <si>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</si>
  <si>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</si>
  <si>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</si>
  <si>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</si>
  <si>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</si>
  <si>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</si>
  <si>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</si>
  <si>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</si>
  <si>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</si>
  <si>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</si>
  <si>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</si>
  <si>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</si>
  <si>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</si>
  <si>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</si>
  <si>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</si>
  <si>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</si>
  <si>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</si>
  <si>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</si>
  <si>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</si>
  <si>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</si>
  <si>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</si>
  <si>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</si>
  <si>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</si>
  <si>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</si>
  <si>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</si>
  <si>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</si>
  <si>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</si>
  <si>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</si>
  <si>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</si>
  <si>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</si>
  <si>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</si>
  <si>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</si>
  <si>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</si>
  <si>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</si>
  <si>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</si>
  <si>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</si>
  <si>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</si>
  <si>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</si>
  <si>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</si>
  <si>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</si>
  <si>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</si>
  <si>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</si>
  <si>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</si>
  <si>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</si>
  <si>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</si>
  <si>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</si>
  <si>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</si>
  <si>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</si>
  <si>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</si>
  <si>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</si>
  <si>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</si>
  <si>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</si>
  <si>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</si>
  <si>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</si>
  <si>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</si>
  <si>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</si>
  <si>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</si>
  <si>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</si>
  <si>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</si>
  <si>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</si>
  <si>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</si>
  <si>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</si>
  <si>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</si>
  <si>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</si>
  <si>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</si>
  <si>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</si>
  <si>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</si>
  <si>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</si>
  <si>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</si>
  <si>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</si>
  <si>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</si>
  <si>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</si>
  <si>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</si>
  <si>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</si>
  <si>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</si>
  <si>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</si>
  <si>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</si>
  <si>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</si>
  <si>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</si>
  <si>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</si>
  <si>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</si>
  <si>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</si>
  <si>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</si>
  <si>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</si>
  <si>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</si>
  <si>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</si>
  <si>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</si>
  <si>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</si>
  <si>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</si>
  <si>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</si>
  <si>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</si>
  <si>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</si>
  <si>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</si>
  <si>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</si>
  <si>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</si>
  <si>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</si>
  <si>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</si>
  <si>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</si>
  <si>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</si>
  <si>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</si>
  <si>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</si>
  <si>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</si>
  <si>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</si>
  <si>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</si>
  <si>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</si>
  <si>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</si>
  <si>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</si>
  <si>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</si>
  <si>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</si>
  <si>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</si>
  <si>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</si>
  <si>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</si>
  <si>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</si>
  <si>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</si>
  <si>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</si>
  <si>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</si>
  <si>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</si>
  <si>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</si>
  <si>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</si>
  <si>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</si>
  <si>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</si>
  <si>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</si>
  <si>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</si>
  <si>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</si>
  <si>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</si>
  <si>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</si>
  <si>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</si>
  <si>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</si>
  <si>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</si>
  <si>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</si>
  <si>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</si>
  <si>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</si>
  <si>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</si>
  <si>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</si>
  <si>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</si>
  <si>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</si>
  <si>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</si>
  <si>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</si>
  <si>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</si>
  <si>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</si>
  <si>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</si>
  <si>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</si>
  <si>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</si>
  <si>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</si>
  <si>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</si>
  <si>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</si>
  <si>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</si>
  <si>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</si>
  <si>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</si>
  <si>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</si>
  <si>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</si>
  <si>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</si>
  <si>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</si>
  <si>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</si>
  <si>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</si>
  <si>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</si>
  <si>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</si>
  <si>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</si>
  <si>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</si>
  <si>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</si>
  <si>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</si>
  <si>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</si>
  <si>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</si>
  <si>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</si>
  <si>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</si>
  <si>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</si>
  <si>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</si>
  <si>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</si>
  <si>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</si>
  <si>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</si>
  <si>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</si>
  <si>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</si>
  <si>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</si>
  <si>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</si>
  <si>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</si>
  <si>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</si>
  <si>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</si>
  <si>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</si>
  <si>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</si>
  <si>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</si>
  <si>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</si>
  <si>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</si>
  <si>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</si>
  <si>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</si>
  <si>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</si>
  <si>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</si>
  <si>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</si>
  <si>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</si>
  <si>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</si>
  <si>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</si>
  <si>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</si>
  <si>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</si>
  <si>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</si>
  <si>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</si>
  <si>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</si>
  <si>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</si>
  <si>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</si>
  <si>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</si>
  <si>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</si>
  <si>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</si>
  <si>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</si>
  <si>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</si>
  <si>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</si>
  <si>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</si>
  <si>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</si>
  <si>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</si>
  <si>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</si>
  <si>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</si>
  <si>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</si>
  <si>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</si>
  <si>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</si>
  <si>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</si>
  <si>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</si>
  <si>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</si>
  <si>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</si>
  <si>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</si>
  <si>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</si>
  <si>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</si>
  <si>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</si>
  <si>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</si>
  <si>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</si>
  <si>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</si>
  <si>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</si>
  <si>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</si>
  <si>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</si>
  <si>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</si>
  <si>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</si>
  <si>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</si>
  <si>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</si>
  <si>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</si>
  <si>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</si>
  <si>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</si>
  <si>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</si>
  <si>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</si>
  <si>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</si>
  <si>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</si>
  <si>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</si>
  <si>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</si>
  <si>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</si>
  <si>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</si>
  <si>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</si>
  <si>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</si>
  <si>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</si>
  <si>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</si>
  <si>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</si>
  <si>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</si>
  <si>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</si>
  <si>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</si>
  <si>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</si>
  <si>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</si>
  <si>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</si>
  <si>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</si>
  <si>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</si>
  <si>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</si>
  <si>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</si>
  <si>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</si>
  <si>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</si>
  <si>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</si>
  <si>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</si>
  <si>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</si>
  <si>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</si>
  <si>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</si>
  <si>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</si>
  <si>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</si>
  <si>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</si>
  <si>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</si>
  <si>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</si>
  <si>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</si>
  <si>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</si>
  <si>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</si>
  <si>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</si>
  <si>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</si>
  <si>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</si>
  <si>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</si>
  <si>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</si>
  <si>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</si>
  <si>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</si>
  <si>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</si>
  <si>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</si>
  <si>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</si>
  <si>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</si>
  <si>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</si>
  <si>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</si>
  <si>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</si>
  <si>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</si>
  <si>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</si>
  <si>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</si>
  <si>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</si>
  <si>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</si>
  <si>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</si>
  <si>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</si>
  <si>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</si>
  <si>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</si>
  <si>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</si>
  <si>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</si>
  <si>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</si>
  <si>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</si>
  <si>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</si>
  <si>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</si>
  <si>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</si>
  <si>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</si>
  <si>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</si>
  <si>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</si>
  <si>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</si>
  <si>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</si>
  <si>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</si>
  <si>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</si>
  <si>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</si>
  <si>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</si>
  <si>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</si>
  <si>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</si>
  <si>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</si>
  <si>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</si>
  <si>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</si>
  <si>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</si>
  <si>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</si>
  <si>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</si>
  <si>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</si>
  <si>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</si>
  <si>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</si>
  <si>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</si>
  <si>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</si>
  <si>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</si>
  <si>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</si>
  <si>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</si>
  <si>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</si>
  <si>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</si>
  <si>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</si>
  <si>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</si>
  <si>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</si>
  <si>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</si>
  <si>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</si>
  <si>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</si>
  <si>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</si>
  <si>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</si>
  <si>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</si>
  <si>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</si>
  <si>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</si>
  <si>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</si>
  <si>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</si>
  <si>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</si>
  <si>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</si>
  <si>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</si>
  <si>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</si>
  <si>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</si>
  <si>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</si>
  <si>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</si>
  <si>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</si>
  <si>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</si>
  <si>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</si>
  <si>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</si>
  <si>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</si>
  <si>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</si>
  <si>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</si>
  <si>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</si>
  <si>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</si>
  <si>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</si>
  <si>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</si>
  <si>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</si>
  <si>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</si>
  <si>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</si>
  <si>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</si>
  <si>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</si>
  <si>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</si>
  <si>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</si>
  <si>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</si>
  <si>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</si>
  <si>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</si>
  <si>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</si>
  <si>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</si>
  <si>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</si>
  <si>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</si>
  <si>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</si>
  <si>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</si>
  <si>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</si>
  <si>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</si>
  <si>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</si>
  <si>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</si>
  <si>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</si>
  <si>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</si>
  <si>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</si>
  <si>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</si>
  <si>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</si>
  <si>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</si>
  <si>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</si>
  <si>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</si>
  <si>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</si>
  <si>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</si>
  <si>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</si>
  <si>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</si>
  <si>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</si>
  <si>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</si>
  <si>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</si>
  <si>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</si>
  <si>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</si>
  <si>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</si>
  <si>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</si>
  <si>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</si>
  <si>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</si>
  <si>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</si>
  <si>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</si>
  <si>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</si>
  <si>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</si>
  <si>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</si>
  <si>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</si>
  <si>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</si>
  <si>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</si>
  <si>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</si>
  <si>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</si>
  <si>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</si>
  <si>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</si>
  <si>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</si>
  <si>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</si>
  <si>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</si>
  <si>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</si>
  <si>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</si>
  <si>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</si>
  <si>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</si>
  <si>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</si>
  <si>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</si>
  <si>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</si>
  <si>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</si>
  <si>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</si>
  <si>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</si>
  <si>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</si>
  <si>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</si>
  <si>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</si>
  <si>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</si>
  <si>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</si>
  <si>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</si>
  <si>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</si>
  <si>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</si>
  <si>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</si>
  <si>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</si>
  <si>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</si>
  <si>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</si>
  <si>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</si>
  <si>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</si>
  <si>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</si>
  <si>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</si>
  <si>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</si>
  <si>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</si>
  <si>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</si>
  <si>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</si>
  <si>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</si>
  <si>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</si>
  <si>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</si>
  <si>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</si>
  <si>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</si>
  <si>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</si>
  <si>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</si>
  <si>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</si>
  <si>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</si>
  <si>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</si>
  <si>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</si>
  <si>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</si>
  <si>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</si>
  <si>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</si>
  <si>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</si>
  <si>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</si>
  <si>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</si>
  <si>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</si>
  <si>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</si>
  <si>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</si>
  <si>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</si>
  <si>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</si>
  <si>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</si>
  <si>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</si>
  <si>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</si>
  <si>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</si>
  <si>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</si>
  <si>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</si>
  <si>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</si>
  <si>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</si>
  <si>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</si>
  <si>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</si>
  <si>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</si>
  <si>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</si>
  <si>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</si>
  <si>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</si>
  <si>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</si>
  <si>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</si>
  <si>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</si>
  <si>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</si>
  <si>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</si>
  <si>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</si>
  <si>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</si>
  <si>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</si>
  <si>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</si>
  <si>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</si>
  <si>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</si>
  <si>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</si>
  <si>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</si>
  <si>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</si>
  <si>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</si>
  <si>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</si>
  <si>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</si>
  <si>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</si>
  <si>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</si>
  <si>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</si>
  <si>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</si>
  <si>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</si>
  <si>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</si>
  <si>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</si>
  <si>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</si>
  <si>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</si>
  <si>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</si>
  <si>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</si>
  <si>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</si>
  <si>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</si>
  <si>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</si>
  <si>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</si>
  <si>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</si>
  <si>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</si>
  <si>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</si>
  <si>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</si>
  <si>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</si>
  <si>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</si>
  <si>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</si>
  <si>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</si>
  <si>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</si>
  <si>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</si>
  <si>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</si>
  <si>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</si>
  <si>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</si>
  <si>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</si>
  <si>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</si>
  <si>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</si>
  <si>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</si>
  <si>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</si>
  <si>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</si>
  <si>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</si>
  <si>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</si>
  <si>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</si>
  <si>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</si>
  <si>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</si>
  <si>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</si>
  <si>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</si>
  <si>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</si>
  <si>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</si>
  <si>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</si>
  <si>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</si>
  <si>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</si>
  <si>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</si>
  <si>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</si>
  <si>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</si>
  <si>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</si>
  <si>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</si>
  <si>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</si>
  <si>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</si>
  <si>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</si>
  <si>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</si>
  <si>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</si>
  <si>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</si>
  <si>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</si>
  <si>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</si>
  <si>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</si>
  <si>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</si>
  <si>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</si>
  <si>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</si>
  <si>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</si>
  <si>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</si>
  <si>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</si>
  <si>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</si>
  <si>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</si>
  <si>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</si>
  <si>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</si>
  <si>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</si>
  <si>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</si>
  <si>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</si>
  <si>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</si>
  <si>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</si>
  <si>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</si>
  <si>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</si>
  <si>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</si>
  <si>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</si>
  <si>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</si>
  <si>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</si>
  <si>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</si>
  <si>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</si>
  <si>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</si>
  <si>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</si>
  <si>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</si>
  <si>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</si>
  <si>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</si>
  <si>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</si>
  <si>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</si>
  <si>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</si>
  <si>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</si>
  <si>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</si>
  <si>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</si>
  <si>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</si>
  <si>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</si>
  <si>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</si>
  <si>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</si>
  <si>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</si>
  <si>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</si>
  <si>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</si>
  <si>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</si>
  <si>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</si>
  <si>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</si>
  <si>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</si>
  <si>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</si>
  <si>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</si>
  <si>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</si>
  <si>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</si>
  <si>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</si>
  <si>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</si>
  <si>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</si>
  <si>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</si>
  <si>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</si>
  <si>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</si>
  <si>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</si>
  <si>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</si>
  <si>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</si>
  <si>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</si>
  <si>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</si>
  <si>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</si>
  <si>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</si>
  <si>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</si>
  <si>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</si>
  <si>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</si>
  <si>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</si>
  <si>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</si>
  <si>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</si>
  <si>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</si>
  <si>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</si>
  <si>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</si>
  <si>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</si>
  <si>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</si>
  <si>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</si>
  <si>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</si>
  <si>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</si>
  <si>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</si>
  <si>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</si>
  <si>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</si>
  <si>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</si>
  <si>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</si>
  <si>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</si>
  <si>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</si>
  <si>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</si>
  <si>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</si>
  <si>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</si>
  <si>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</si>
  <si>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</si>
  <si>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</si>
  <si>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</si>
  <si>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</si>
  <si>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</si>
  <si>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</si>
  <si>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</si>
  <si>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</si>
  <si>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</si>
  <si>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</si>
  <si>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</si>
  <si>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</si>
  <si>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</si>
  <si>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</si>
  <si>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</si>
  <si>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</si>
  <si>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</si>
  <si>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</si>
  <si>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</si>
  <si>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</si>
  <si>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</si>
  <si>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</si>
  <si>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</si>
  <si>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</si>
  <si>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</si>
  <si>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</si>
  <si>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</si>
  <si>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</si>
  <si>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</si>
  <si>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</si>
  <si>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</si>
  <si>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</si>
  <si>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</si>
  <si>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</si>
  <si>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</si>
  <si>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</si>
  <si>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</si>
  <si>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</si>
  <si>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</si>
  <si>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</si>
  <si>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</si>
  <si>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</si>
  <si>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</si>
  <si>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</si>
  <si>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</si>
  <si>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</si>
  <si>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</si>
  <si>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</si>
  <si>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</si>
  <si>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</si>
  <si>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</si>
  <si>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</si>
  <si>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</si>
  <si>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</si>
  <si>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</si>
  <si>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</si>
  <si>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</si>
  <si>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</si>
  <si>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</si>
  <si>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</si>
  <si>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</si>
  <si>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</si>
  <si>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</si>
  <si>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</si>
  <si>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</si>
  <si>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</si>
  <si>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</si>
  <si>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</si>
  <si>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</si>
  <si>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</si>
  <si>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</si>
  <si>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</si>
  <si>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</si>
  <si>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</si>
  <si>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</si>
  <si>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</si>
  <si>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</si>
  <si>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</si>
  <si>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</si>
  <si>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</si>
  <si>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</si>
  <si>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</si>
  <si>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</si>
  <si>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</si>
  <si>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</si>
  <si>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</si>
  <si>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</si>
  <si>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</si>
  <si>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</si>
  <si>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</si>
  <si>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</si>
  <si>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</si>
  <si>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</si>
  <si>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</si>
  <si>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</si>
  <si>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</si>
  <si>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</si>
  <si>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</si>
  <si>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</si>
  <si>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</si>
  <si>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</si>
  <si>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</si>
  <si>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</si>
  <si>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</si>
  <si>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</si>
  <si>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</si>
  <si>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</si>
  <si>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</si>
  <si>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</si>
  <si>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</si>
  <si>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</si>
  <si>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</si>
  <si>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</si>
  <si>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</si>
  <si>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</si>
  <si>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</si>
  <si>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</si>
  <si>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</si>
  <si>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</si>
  <si>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</si>
  <si>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</si>
  <si>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</si>
  <si>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</si>
  <si>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</si>
  <si>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</si>
  <si>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</si>
  <si>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</si>
  <si>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</si>
  <si>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</si>
  <si>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</si>
  <si>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</si>
  <si>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</si>
  <si>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</si>
  <si>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</si>
  <si>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</si>
  <si>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</si>
  <si>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</si>
  <si>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</si>
  <si>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</si>
  <si>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</si>
  <si>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</si>
  <si>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</si>
  <si>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</si>
  <si>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</si>
  <si>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</si>
  <si>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</si>
  <si>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</si>
  <si>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</si>
  <si>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</si>
  <si>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</si>
  <si>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</si>
  <si>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</si>
  <si>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</si>
  <si>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</si>
  <si>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</si>
  <si>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</si>
  <si>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</si>
  <si>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</si>
  <si>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</si>
  <si>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</si>
  <si>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</si>
  <si>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</si>
  <si>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</si>
  <si>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</si>
  <si>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</si>
  <si>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</si>
  <si>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</si>
  <si>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</si>
  <si>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</si>
  <si>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</si>
  <si>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</si>
  <si>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</si>
  <si>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</si>
  <si>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</si>
  <si>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</si>
  <si>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</si>
  <si>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</si>
  <si>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</si>
  <si>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</si>
  <si>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</si>
  <si>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</si>
  <si>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</si>
  <si>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</si>
  <si>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</si>
  <si>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</si>
  <si>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</si>
  <si>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</si>
  <si>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</si>
  <si>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</si>
  <si>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</si>
  <si>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</si>
  <si>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</si>
  <si>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</si>
  <si>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</si>
  <si>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</si>
  <si>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</si>
  <si>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</si>
  <si>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</si>
  <si>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</si>
  <si>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</si>
  <si>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</si>
  <si>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</si>
  <si>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</si>
  <si>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</si>
  <si>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</si>
  <si>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</si>
  <si>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</si>
  <si>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</si>
  <si>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</si>
  <si>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</si>
  <si>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</si>
  <si>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</si>
  <si>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</si>
  <si>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</si>
  <si>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</si>
  <si>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</si>
  <si>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</si>
  <si>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</si>
  <si>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</si>
  <si>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</si>
  <si>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</si>
  <si>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</si>
  <si>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</si>
  <si>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</si>
  <si>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</si>
  <si>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</si>
  <si>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</si>
  <si>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</si>
  <si>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</si>
  <si>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</si>
  <si>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</si>
  <si>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</si>
  <si>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</si>
  <si>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</si>
  <si>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</si>
  <si>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</si>
  <si>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</si>
  <si>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</si>
  <si>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</si>
  <si>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</si>
  <si>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</si>
  <si>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</si>
  <si>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</si>
  <si>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</si>
  <si>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</si>
  <si>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</si>
  <si>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</si>
  <si>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</si>
  <si>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</si>
  <si>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</si>
  <si>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</si>
  <si>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</si>
  <si>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</si>
  <si>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</si>
  <si>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</si>
  <si>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</si>
  <si>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</si>
  <si>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</si>
  <si>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</si>
  <si>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</si>
  <si>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</si>
  <si>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</si>
  <si>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</si>
  <si>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</si>
  <si>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</si>
  <si>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</si>
  <si>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</si>
  <si>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</si>
  <si>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</si>
  <si>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</si>
  <si>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</si>
  <si>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</si>
  <si>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</si>
  <si>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</si>
  <si>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</si>
  <si>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</si>
  <si>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</si>
  <si>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</si>
  <si>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</si>
  <si>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</si>
  <si>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</si>
  <si>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</si>
  <si>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</si>
  <si>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</si>
  <si>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</si>
  <si>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</si>
  <si>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</si>
  <si>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</si>
  <si>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</si>
  <si>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</si>
  <si>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</si>
  <si>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</si>
  <si>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</si>
  <si>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</si>
  <si>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</si>
  <si>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</si>
  <si>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</si>
  <si>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</si>
  <si>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</si>
  <si>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</si>
  <si>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</si>
  <si>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</si>
  <si>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</si>
  <si>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</si>
  <si>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</si>
  <si>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</si>
  <si>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</si>
  <si>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</si>
  <si>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</si>
  <si>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</si>
  <si>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</si>
  <si>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</si>
  <si>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</si>
  <si>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</si>
  <si>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</si>
  <si>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</si>
  <si>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</si>
  <si>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</si>
  <si>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</si>
  <si>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</si>
  <si>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</si>
  <si>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</si>
  <si>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</si>
  <si>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</si>
  <si>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</si>
  <si>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</si>
  <si>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</si>
  <si>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</si>
  <si>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</si>
  <si>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</si>
  <si>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</si>
  <si>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</si>
  <si>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</si>
  <si>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</si>
  <si>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</si>
  <si>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</si>
  <si>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</si>
  <si>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</si>
  <si>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</si>
  <si>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</si>
  <si>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</si>
  <si>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</si>
  <si>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</si>
  <si>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</si>
  <si>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</si>
  <si>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</si>
  <si>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</si>
  <si>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</si>
  <si>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</si>
  <si>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</si>
  <si>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</si>
  <si>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</si>
  <si>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</si>
  <si>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</si>
  <si>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</si>
  <si>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</si>
  <si>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</si>
  <si>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</si>
  <si>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</si>
  <si>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</si>
  <si>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</si>
  <si>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</si>
  <si>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</si>
  <si>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</si>
  <si>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</si>
  <si>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</si>
  <si>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</si>
  <si>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</si>
  <si>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</si>
  <si>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</si>
  <si>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</si>
  <si>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</si>
  <si>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</si>
  <si>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</si>
  <si>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</si>
  <si>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</si>
  <si>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</si>
  <si>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</si>
  <si>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</si>
  <si>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</si>
  <si>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</si>
  <si>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</si>
  <si>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</si>
  <si>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</si>
  <si>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</si>
  <si>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</si>
  <si>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</si>
  <si>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</si>
  <si>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</si>
  <si>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</si>
  <si>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</si>
  <si>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</si>
  <si>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</si>
  <si>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</si>
  <si>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</si>
  <si>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</si>
  <si>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</si>
  <si>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</si>
  <si>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</si>
  <si>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</si>
  <si>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</si>
  <si>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</si>
  <si>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</si>
  <si>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</si>
  <si>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</si>
  <si>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</si>
  <si>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</si>
  <si>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</si>
  <si>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</si>
  <si>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</si>
  <si>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</si>
  <si>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</si>
  <si>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</si>
  <si>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</si>
  <si>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</si>
  <si>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</si>
  <si>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</si>
  <si>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</si>
  <si>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</si>
  <si>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</si>
  <si>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</si>
  <si>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</si>
  <si>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</si>
  <si>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</si>
  <si>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</si>
  <si>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</si>
  <si>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</si>
  <si>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</si>
  <si>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</si>
  <si>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</si>
  <si>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</si>
  <si>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</si>
  <si>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</si>
  <si>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</si>
  <si>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</si>
  <si>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</si>
  <si>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</si>
  <si>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</si>
  <si>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</si>
  <si>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</si>
  <si>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</si>
  <si>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</si>
  <si>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</si>
  <si>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</si>
  <si>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</si>
  <si>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</si>
  <si>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</si>
  <si>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</si>
  <si>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</si>
  <si>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</si>
  <si>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</si>
  <si>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</si>
  <si>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</si>
  <si>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</si>
  <si>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</si>
  <si>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</si>
  <si>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</si>
  <si>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</si>
  <si>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</si>
  <si>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</si>
  <si>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</si>
  <si>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</si>
  <si>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</si>
  <si>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</si>
  <si>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</si>
  <si>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</si>
  <si>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</si>
  <si>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</si>
  <si>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</si>
  <si>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</si>
  <si>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</si>
  <si>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</si>
  <si>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</si>
  <si>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</si>
  <si>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</si>
  <si>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</si>
  <si>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</si>
  <si>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</si>
  <si>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</si>
  <si>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</si>
  <si>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</si>
  <si>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</si>
  <si>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</si>
  <si>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</si>
  <si>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</si>
  <si>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</si>
  <si>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</si>
  <si>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</si>
  <si>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</si>
  <si>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</si>
  <si>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</si>
  <si>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</si>
  <si>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</si>
  <si>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</si>
  <si>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</si>
  <si>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</si>
  <si>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</si>
  <si>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</si>
  <si>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</si>
  <si>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</si>
  <si>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</si>
  <si>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</si>
  <si>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</si>
  <si>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</si>
  <si>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</si>
  <si>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</si>
  <si>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</si>
  <si>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</si>
  <si>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</si>
  <si>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</si>
  <si>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</si>
  <si>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</si>
  <si>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</si>
  <si>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</si>
  <si>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</si>
  <si>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</si>
  <si>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</si>
  <si>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</si>
  <si>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</si>
  <si>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</si>
  <si>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</si>
  <si>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</si>
  <si>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</si>
  <si>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</si>
  <si>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</si>
  <si>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</si>
  <si>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</si>
  <si>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</si>
  <si>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</si>
  <si>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</si>
  <si>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</si>
  <si>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</si>
  <si>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</si>
  <si>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</si>
  <si>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</si>
  <si>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</si>
  <si>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</si>
  <si>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</si>
  <si>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</si>
  <si>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</si>
  <si>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</si>
  <si>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</si>
  <si>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</si>
  <si>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</si>
  <si>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</si>
  <si>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</si>
  <si>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</si>
  <si>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</si>
  <si>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</si>
  <si>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</si>
  <si>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</si>
  <si>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</si>
  <si>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</si>
  <si>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</si>
  <si>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</si>
  <si>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</si>
  <si>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</si>
  <si>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</si>
  <si>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</si>
  <si>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</si>
  <si>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</si>
  <si>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</si>
  <si>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</si>
  <si>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</si>
  <si>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</si>
  <si>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</si>
  <si>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</si>
  <si>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</si>
  <si>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</si>
  <si>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</si>
  <si>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</si>
  <si>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</si>
  <si>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</si>
  <si>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</si>
  <si>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</si>
  <si>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</si>
  <si>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</si>
  <si>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</si>
  <si>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</si>
  <si>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</si>
  <si>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</si>
  <si>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</si>
  <si>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</si>
  <si>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</si>
  <si>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</si>
  <si>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</si>
  <si>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</si>
  <si>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</si>
  <si>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</si>
  <si>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</si>
  <si>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</si>
  <si>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</si>
  <si>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</si>
  <si>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</si>
  <si>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</si>
  <si>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</si>
  <si>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</si>
  <si>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</si>
  <si>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</si>
  <si>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</si>
  <si>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</si>
  <si>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</si>
  <si>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</si>
  <si>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</si>
  <si>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</si>
  <si>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</si>
  <si>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</si>
  <si>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</si>
  <si>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</si>
  <si>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motocyklový šport - bežné transfery</t>
  </si>
  <si>
    <t>SLSP 1/2026</t>
  </si>
  <si>
    <t>Bankové poplatky</t>
  </si>
  <si>
    <t>00151653</t>
  </si>
  <si>
    <t>Slovenská sporiteľňa</t>
  </si>
  <si>
    <t>SLSP 2/2026</t>
  </si>
  <si>
    <t>12026</t>
  </si>
  <si>
    <t>Mzdové náklady zamestnanca</t>
  </si>
  <si>
    <t>Zamestnanec 1</t>
  </si>
  <si>
    <t>Mzdové náklady zamestnanca-tréner ŠR</t>
  </si>
  <si>
    <t>Zamestnanec 3</t>
  </si>
  <si>
    <t>Zamestnanec 2</t>
  </si>
  <si>
    <t>DF 30/2026</t>
  </si>
  <si>
    <t>20267</t>
  </si>
  <si>
    <t>Automatizované spracovanie dát, mesačná správa a údržba www.smf.sk 1/2026</t>
  </si>
  <si>
    <t>45974403</t>
  </si>
  <si>
    <t>CREATE.SK, s.r.o.</t>
  </si>
  <si>
    <t>DF 46/2026</t>
  </si>
  <si>
    <t>101052026</t>
  </si>
  <si>
    <t>Páska a kartičky na výrobu licencií - delegovaných činovníkov a členov SMF</t>
  </si>
  <si>
    <t>31611630</t>
  </si>
  <si>
    <t>Robinco Slovakia s.r.o.</t>
  </si>
  <si>
    <t>DF 42/2026</t>
  </si>
  <si>
    <t>5260050</t>
  </si>
  <si>
    <t>Nájom kancelársky priestorov 1/2026</t>
  </si>
  <si>
    <t>00317667</t>
  </si>
  <si>
    <t>Mesto Považská Bystrica</t>
  </si>
  <si>
    <t>DF 51/2026</t>
  </si>
  <si>
    <t>Seminár FIM-CTI - účastnícky poplato, 21.-22.2.2026, Polsko, x80€</t>
  </si>
  <si>
    <t>Polski Zwiazek Motorowy</t>
  </si>
  <si>
    <t>DF 57/2026</t>
  </si>
  <si>
    <t>MACEC - letenky 2x - delegácia SMF - Budapest-Vilnius a späť</t>
  </si>
  <si>
    <t>Wizz Air</t>
  </si>
  <si>
    <t>20262</t>
  </si>
  <si>
    <t>Športová výstroj a náhradné diely - refundácia nákladov</t>
  </si>
  <si>
    <t>Maxim Zimmerman</t>
  </si>
  <si>
    <t>22410666</t>
  </si>
  <si>
    <t>Poistenie liečebných nákladov v zahraničí - Vanessa Zimmermanová</t>
  </si>
  <si>
    <t>36284831</t>
  </si>
  <si>
    <t>Union poisťovňa</t>
  </si>
  <si>
    <t>22410665</t>
  </si>
  <si>
    <t>Poistenie liečebných nákladov v zahraničí - Maxim Zimmerman</t>
  </si>
  <si>
    <t>Odvody za zamestnancov 1/2026-tréner ŠR</t>
  </si>
  <si>
    <t>Odvody za zamestnancov 1/2026</t>
  </si>
  <si>
    <t>35942479</t>
  </si>
  <si>
    <t>Dôvera zdravotná poisťovňa</t>
  </si>
  <si>
    <t>30807484</t>
  </si>
  <si>
    <t>Sociálna poisťovňa</t>
  </si>
  <si>
    <t>2026</t>
  </si>
  <si>
    <t>Licencia FIM Endurance 2026 - refundácia  nákladov</t>
  </si>
  <si>
    <t>Maco Racing sro</t>
  </si>
  <si>
    <t>SLSP 3/2026</t>
  </si>
  <si>
    <t>11323486</t>
  </si>
  <si>
    <t>Poistenie zodpovednosti za škodu - poistenie podujatí SMF</t>
  </si>
  <si>
    <t>31322051</t>
  </si>
  <si>
    <t>Union poisťovňa, a.s</t>
  </si>
  <si>
    <t>Náhradné diely + športová výstroj refundácia nákladov</t>
  </si>
  <si>
    <t>Masár Matej</t>
  </si>
  <si>
    <t>22026</t>
  </si>
  <si>
    <t xml:space="preserve">Mzdové náklady </t>
  </si>
  <si>
    <t>Mzdové náklady - tréner ŠM</t>
  </si>
  <si>
    <t>Mzdové náklady</t>
  </si>
  <si>
    <t>DF 67/2026</t>
  </si>
  <si>
    <t>20260299</t>
  </si>
  <si>
    <t>Športová výstroj 40 ks pre jazdcov - športovej mototuristiky</t>
  </si>
  <si>
    <t>36513148</t>
  </si>
  <si>
    <t>3b, s.r.o.</t>
  </si>
  <si>
    <t>DF 77/2026</t>
  </si>
  <si>
    <t>260580</t>
  </si>
  <si>
    <t>Nálepky na prilby a chrániče - technické preberanie motocyklov</t>
  </si>
  <si>
    <t>36199451</t>
  </si>
  <si>
    <t>Hi-Reklama, s.r.o.</t>
  </si>
  <si>
    <t>DF 80/2026</t>
  </si>
  <si>
    <t>2026001620</t>
  </si>
  <si>
    <t>Oblečenie pre delegovaných činovníkov - šiltovky, vyšívanie - 17 ks</t>
  </si>
  <si>
    <t>32891792</t>
  </si>
  <si>
    <t>Miroslava Angyalová reklamné predmety</t>
  </si>
  <si>
    <t>1110039904</t>
  </si>
  <si>
    <t xml:space="preserve">Poistenie zodpovednosti za škodu - poistenie podujatí SMF </t>
  </si>
  <si>
    <t>50659669</t>
  </si>
  <si>
    <t>Premium insurance Company Limited</t>
  </si>
  <si>
    <t>20266</t>
  </si>
  <si>
    <t xml:space="preserve">Športové trofeje pre šprint </t>
  </si>
  <si>
    <t>Peter Maga, viceprezident pre ŠMT</t>
  </si>
  <si>
    <t>2241023</t>
  </si>
  <si>
    <t>Poistenie liečebných nákladov v zahraničí - Martin Vaculík</t>
  </si>
  <si>
    <t>DF 95/2026</t>
  </si>
  <si>
    <t>20260038</t>
  </si>
  <si>
    <t>Beachflag s príslušenstvo pre EaR 4x- pre technické a administratívne preberanie</t>
  </si>
  <si>
    <t>52074129</t>
  </si>
  <si>
    <t>Different Sportwear s.r.o.</t>
  </si>
  <si>
    <t>Refundácia nákladov - štartovné EMX 125 - Španielsko</t>
  </si>
  <si>
    <t>DF 102/2026</t>
  </si>
  <si>
    <t>13260059</t>
  </si>
  <si>
    <t>Štartové čísla pre enduro a CC - Družstevná n. Hornádom</t>
  </si>
  <si>
    <t>36596621</t>
  </si>
  <si>
    <t>SEDEM - vaša kreatívna s.r.o.</t>
  </si>
  <si>
    <t>22410947</t>
  </si>
  <si>
    <t>Poistenie liečebných nákladov v zahraničí - Natália Bučová</t>
  </si>
  <si>
    <t>22410948</t>
  </si>
  <si>
    <t>Poistenie liečebných nákladov v zahraničí - Lukáš Trško</t>
  </si>
  <si>
    <t>22410949</t>
  </si>
  <si>
    <t>Poistenie liečebných nákladov v zahraničí - Pavol Repčák</t>
  </si>
  <si>
    <t>DF 93/2026</t>
  </si>
  <si>
    <t>2026020</t>
  </si>
  <si>
    <t>Športové oblečenie pre výpravu ŠMT - 21 ks</t>
  </si>
  <si>
    <t>51711885</t>
  </si>
  <si>
    <t>Preset Plus sro</t>
  </si>
  <si>
    <t>DF 98/2026</t>
  </si>
  <si>
    <t>260400128</t>
  </si>
  <si>
    <t>Servisné práce, káble a adaptér - práce sekretariát SMF</t>
  </si>
  <si>
    <t>36304921</t>
  </si>
  <si>
    <t>ITC SYSTEMS s.r.o.</t>
  </si>
  <si>
    <t>SLSP 4/2026</t>
  </si>
  <si>
    <t>MM SR MX mládeže 50,65</t>
  </si>
  <si>
    <t>56950250</t>
  </si>
  <si>
    <t>Trofans, Púchov</t>
  </si>
  <si>
    <t>DF 119/2026</t>
  </si>
  <si>
    <t>20260048</t>
  </si>
  <si>
    <t>Beachflag - hrot s kovovým rotujúcim trnom do zeme - oznamy na administratívne a technické preberanie motocyklov</t>
  </si>
  <si>
    <t>ME Enduro 25.-26.4.2026, Maďarsko - štartovné 3x250€</t>
  </si>
  <si>
    <t>Enjoy&amp;Fun Group</t>
  </si>
  <si>
    <t>DF 87/2026</t>
  </si>
  <si>
    <t>582026</t>
  </si>
  <si>
    <t>Vytyčovacie pásky - pre organizátorov motocyklovách podujatí - vytyčovanie trate</t>
  </si>
  <si>
    <t>32868669</t>
  </si>
  <si>
    <t>Peter Barilla - PE Plast</t>
  </si>
  <si>
    <t>DF 103/2026</t>
  </si>
  <si>
    <t>2026021</t>
  </si>
  <si>
    <t>Oblečene s logom SMF pre účastníkov - Rally FIM, Mototour, Motocamp FIM - 66 ks</t>
  </si>
  <si>
    <t>Vytyčovacie pásky - pre organizátorov motocyklovách podujatí - vytyčovanie trate - doplatok FA</t>
  </si>
  <si>
    <t>DF 111/2026</t>
  </si>
  <si>
    <t>2603014</t>
  </si>
  <si>
    <t>Baner za stupeň víťazov - Enduro a relly, Country cross</t>
  </si>
  <si>
    <t>51029651</t>
  </si>
  <si>
    <t>ORYX, s.r.o.</t>
  </si>
  <si>
    <t>DF 105/2026</t>
  </si>
  <si>
    <t>26087</t>
  </si>
  <si>
    <t>Delegovaní činovníci - Enduro - Bunda + polokošela s označením funkcie na podujatí</t>
  </si>
  <si>
    <t>47027703</t>
  </si>
  <si>
    <t>Adra Attis, s.r.o.</t>
  </si>
  <si>
    <t>DF 100/2026</t>
  </si>
  <si>
    <t>2026067</t>
  </si>
  <si>
    <t>Environmentálne podložky pod motocykle - 20 ks</t>
  </si>
  <si>
    <t>52846547</t>
  </si>
  <si>
    <t>Breco s.r.o.</t>
  </si>
  <si>
    <t>DF 120/2026</t>
  </si>
  <si>
    <t>2026005</t>
  </si>
  <si>
    <t>Aplikácia Sportity pre disciplínu enduro</t>
  </si>
  <si>
    <t>47547227</t>
  </si>
  <si>
    <t>VNE s.r.o.</t>
  </si>
  <si>
    <t>DF 49/2026</t>
  </si>
  <si>
    <t>04_2026</t>
  </si>
  <si>
    <t>Členský poplatok</t>
  </si>
  <si>
    <t>Alpe Adria Motorcycle Union</t>
  </si>
  <si>
    <t>DF 121/2026</t>
  </si>
  <si>
    <t>2026002</t>
  </si>
  <si>
    <t>Organizačné zabezpečenie MM SR MX Gbely - 12.4.2026</t>
  </si>
  <si>
    <t>54159415</t>
  </si>
  <si>
    <t>Time Travel s.r.o.</t>
  </si>
  <si>
    <t>DF 27/2026</t>
  </si>
  <si>
    <t>2026-0161</t>
  </si>
  <si>
    <t>Fédération Internationale de Motocyclisme</t>
  </si>
  <si>
    <t>DF 33/2026</t>
  </si>
  <si>
    <t>2026-0250</t>
  </si>
  <si>
    <t>Licencie jazdcov ME EMX 85+woomen 2x150€, ME EMX 65 75€</t>
  </si>
  <si>
    <t>22410738</t>
  </si>
  <si>
    <t>Poistenie liečebných nákladov v zahraničí - jazdce ME Enduro - Barbova Barborová</t>
  </si>
  <si>
    <t>Union zdravotná poisťovňa, a.s.</t>
  </si>
  <si>
    <t>DF122/2026</t>
  </si>
  <si>
    <t>13260088</t>
  </si>
  <si>
    <t>Štartové čísla pre enduro a CC - Skýcov</t>
  </si>
  <si>
    <t>ME motokros 125 28.-29.3.2026 Švajčiarsko - štartovné</t>
  </si>
  <si>
    <t>Zimmermnam Max</t>
  </si>
  <si>
    <t>DF 702026</t>
  </si>
  <si>
    <t>2026-0379</t>
  </si>
  <si>
    <t>Licencie pre činovnníkov - TK 4x150€ - 600€, lic. CPM women - 750€, lic. Continental CCR - Veverka - 150€, lic. ME enduro 150€</t>
  </si>
  <si>
    <t>DF 128/2026</t>
  </si>
  <si>
    <t>00320026</t>
  </si>
  <si>
    <t>Videodokumentácia zo športových podujatí - enduro-Družstevná pri Hornáde - 28.-29.3.2026, MM SR PD Žarnovica - 29.3.2026</t>
  </si>
  <si>
    <t>52399834</t>
  </si>
  <si>
    <t>Mediaracing s.r.o.</t>
  </si>
  <si>
    <t>SLS 4/2026</t>
  </si>
  <si>
    <t xml:space="preserve">Refundácia nákladov - náhradné diely a športová výstroj </t>
  </si>
  <si>
    <t>Štefan Svitko -Slovnaft Rally Team</t>
  </si>
  <si>
    <t>DF 132/2026</t>
  </si>
  <si>
    <t>102026</t>
  </si>
  <si>
    <t>Využívanie služieb portálu www.sportinfo.sk I.Q 2026</t>
  </si>
  <si>
    <t>40391639</t>
  </si>
  <si>
    <t>Mgr. Ľubomír Striežovský</t>
  </si>
  <si>
    <t>Štartovné ME MX 65/85 - Delfzijl, Holandsko 18.-19.4.2026, Masár Matej</t>
  </si>
  <si>
    <t>MC Delfcross</t>
  </si>
  <si>
    <t>ME Enduro 25.-26.4.2026, Maďarsko - štartovné</t>
  </si>
  <si>
    <t>20264</t>
  </si>
  <si>
    <t>Mototour FIM - štartovné jazdci 3x</t>
  </si>
  <si>
    <t>Touring Finlandia Moottorikerho ry</t>
  </si>
  <si>
    <t>Štartovné EMX 65/85 Open - Slagelse Motocross, Dánsko, 23.-24.5.2026</t>
  </si>
  <si>
    <t>Slagelse MX, Dánsko</t>
  </si>
  <si>
    <t>DF 137/2026</t>
  </si>
  <si>
    <t>MM SR MX Gbely, 12.4.2026 - zdravotné zabezpečenie podujatia</t>
  </si>
  <si>
    <t>Záchranná služba východ, o.z.</t>
  </si>
  <si>
    <t>DF 145/2026</t>
  </si>
  <si>
    <t>2026003</t>
  </si>
  <si>
    <t>Organizačné zabezpečenie MM SR MX Veľké Uherce 3.5.2026</t>
  </si>
  <si>
    <t>Mzdové náklady - odvody - tréner ŠR - 3/2026</t>
  </si>
  <si>
    <t>Mzdové náklady - odvody -  3/2026</t>
  </si>
  <si>
    <t>DF 144/2026</t>
  </si>
  <si>
    <t>MM SR CPM - Dlhá 1.-2.5.2026 - športové trofeje</t>
  </si>
  <si>
    <t>35774282</t>
  </si>
  <si>
    <t>Victory sport, spol s r.o.</t>
  </si>
  <si>
    <t>SLSP 42026</t>
  </si>
  <si>
    <t>SLSP 5/2026</t>
  </si>
  <si>
    <t>80001556</t>
  </si>
  <si>
    <t>Poistné - traťoví maršáli na podujatia</t>
  </si>
  <si>
    <t>00151700</t>
  </si>
  <si>
    <t>Allianz - Slovenská poisťovňa, as</t>
  </si>
  <si>
    <t>DF 150/2026</t>
  </si>
  <si>
    <t>52026</t>
  </si>
  <si>
    <t>Výroba video-dokumentácia z podujatí MM SR Power FESR - šprint motocyklov, Country Cross Skýcov</t>
  </si>
  <si>
    <t>42026</t>
  </si>
  <si>
    <t>Mzdové náklady - 3/2026 - tréner ŠR</t>
  </si>
  <si>
    <t>DF 138/2026</t>
  </si>
  <si>
    <t>1000052426</t>
  </si>
  <si>
    <t xml:space="preserve">Športové trofeje MM SR CPM </t>
  </si>
  <si>
    <t>DF 152/2026</t>
  </si>
  <si>
    <t>72026</t>
  </si>
  <si>
    <t>MM SR CPM mládeže - Dlhá 1.-2.5.2026 - zdravotné zabezpečenie podujatia</t>
  </si>
  <si>
    <t>51898764</t>
  </si>
  <si>
    <t>International JK Rescue Systém Slovakia</t>
  </si>
  <si>
    <t>DF 164/2026</t>
  </si>
  <si>
    <t>2600169</t>
  </si>
  <si>
    <t>MSR v šprínte - športové trofeje</t>
  </si>
  <si>
    <t>DF 163/2026</t>
  </si>
  <si>
    <t>92026</t>
  </si>
  <si>
    <t>MM SR, MSR a pohár SMF starších a mladších žiakov</t>
  </si>
  <si>
    <t>SLPS 5/2026</t>
  </si>
  <si>
    <t>EMX 65/85 - 6.-7.6.2026 Gerstetten, Nemeck o-štartovné Matej Masar</t>
  </si>
  <si>
    <t>MSC Gerstetten Motosportclub</t>
  </si>
  <si>
    <t>22410561</t>
  </si>
  <si>
    <t xml:space="preserve">Poistenie liečebných náíkladov v zahraničí - Ladislav Veverka </t>
  </si>
  <si>
    <t>DF 171/2026</t>
  </si>
  <si>
    <t>13260119</t>
  </si>
  <si>
    <t>Štartové číslana na podujatia MM SR CC, Skýcov</t>
  </si>
  <si>
    <t>1100042026</t>
  </si>
  <si>
    <t>Mzdové náklady - odvody</t>
  </si>
  <si>
    <t>42499500</t>
  </si>
  <si>
    <t xml:space="preserve">Finančná správa </t>
  </si>
  <si>
    <t>DF 185/2026</t>
  </si>
  <si>
    <t>Organizačné zabezpečenie MM SR MX Šenkvice - 31.5.2026</t>
  </si>
  <si>
    <t>DF 136/2026</t>
  </si>
  <si>
    <t>5260334</t>
  </si>
  <si>
    <t>Nájom kancelársky priestorov 4/2026</t>
  </si>
  <si>
    <t>DF 175/2026</t>
  </si>
  <si>
    <t>2002600452</t>
  </si>
  <si>
    <t>35802987</t>
  </si>
  <si>
    <t>TEX - PRINT výrobné družstvo</t>
  </si>
  <si>
    <t>DF 167/2026</t>
  </si>
  <si>
    <t>20261011</t>
  </si>
  <si>
    <t>Štátne vlajky 120x80cm 6 ks - nevyhnutné na motocyklové podujatia</t>
  </si>
  <si>
    <t>Obojstrané kartičky na Trial 2400 ks</t>
  </si>
  <si>
    <t>36479721</t>
  </si>
  <si>
    <t>ALFA Reklama</t>
  </si>
  <si>
    <t>SLSP 6/2026</t>
  </si>
  <si>
    <t>DF 205/2026</t>
  </si>
  <si>
    <t>62026</t>
  </si>
  <si>
    <t>Výroba video-dokumentácia z podujatí MM SR CPM mládeže - Dlhá</t>
  </si>
  <si>
    <t>Výroba video-dokumentácia z podujatí MM SR Trial Vieska-Bezdedov</t>
  </si>
  <si>
    <t>ME Enduro Piediluco, Taliansko 27.-28.6.2026 - štartovné 3x250€</t>
  </si>
  <si>
    <t>ME Enduro Piediluco, Taliansko 27.-28.6.2026 - štartovné 1 x250€</t>
  </si>
  <si>
    <t>DF 203/2026</t>
  </si>
  <si>
    <t>1xbunda - oblečenie delegovaného činovníka a zástupcu v JURY</t>
  </si>
  <si>
    <t>DF 199/2026;</t>
  </si>
  <si>
    <t>26178</t>
  </si>
  <si>
    <t>13260143</t>
  </si>
  <si>
    <t>SLSP 6/026</t>
  </si>
  <si>
    <t>22410579</t>
  </si>
  <si>
    <t>Poistenie liečebných nákladov v zahraničí - Jaroslav Katriňák</t>
  </si>
  <si>
    <t>DF 184/2026</t>
  </si>
  <si>
    <t>2026116</t>
  </si>
  <si>
    <t xml:space="preserve">Environmentálne podložky pod motocykle - 55 ks - pre jazdcov účastníkov ME, MM SR </t>
  </si>
  <si>
    <t>20260379</t>
  </si>
  <si>
    <t>Oblečenie pre delegovaných činovníkov - environmentálnych komisárov - 1xvesta, 1x mikina- vyšívanie loga SMF</t>
  </si>
  <si>
    <t>DF 191/2026</t>
  </si>
  <si>
    <t>DF 208/2026</t>
  </si>
  <si>
    <t>1000084626</t>
  </si>
  <si>
    <t>MM SR CPM mládeže -športové trofeje</t>
  </si>
  <si>
    <t>22410591</t>
  </si>
  <si>
    <t>Poistenie liečebných nákladov v zahraničí - Matej  Masár</t>
  </si>
  <si>
    <t>DF 214/2026</t>
  </si>
  <si>
    <t>1000070226</t>
  </si>
  <si>
    <t>MM SR CPM + Alpe Adria - Poznaň  29.-31.5.2026 - športové trofeje</t>
  </si>
  <si>
    <t xml:space="preserve">DF 224/2026 </t>
  </si>
  <si>
    <t>60163</t>
  </si>
  <si>
    <t>MM SR Enduro a CC - štartové čísla na motocykle</t>
  </si>
  <si>
    <t>22410773</t>
  </si>
  <si>
    <t>Poistenie liečebných nákladov v zahraničí - Roman  Masár</t>
  </si>
  <si>
    <t>DF 234/2026</t>
  </si>
  <si>
    <t>6226061832</t>
  </si>
  <si>
    <t>Toner do tlačiarne</t>
  </si>
  <si>
    <t>48158836</t>
  </si>
  <si>
    <t>Ledum Kamara SK sro</t>
  </si>
  <si>
    <t>DF 206/2026</t>
  </si>
  <si>
    <t>0072026</t>
  </si>
  <si>
    <t>Výroba video-dokumentácie z podujatí - Enduro-Morovno-1000€, M SR Power Fest šprint motocyklov-letisko Poprad - 1000€</t>
  </si>
  <si>
    <t>Mediaracing sro</t>
  </si>
  <si>
    <t>SLSP 7/2026</t>
  </si>
  <si>
    <t>ME v motokrose 11.-12.7.2026 Parnu, Estónsko - štartovné - Matej Masar</t>
  </si>
  <si>
    <t>MTU EESTI MOOTORRATTASPORTI FODERATSIOON</t>
  </si>
  <si>
    <t>DF 162/2026</t>
  </si>
  <si>
    <t>2026006</t>
  </si>
  <si>
    <t>MM SR v motokrose Veľké Uherce - zdravotné zabezpečenie</t>
  </si>
  <si>
    <t>42112907</t>
  </si>
  <si>
    <t>DF 244/2026</t>
  </si>
  <si>
    <t>2026011</t>
  </si>
  <si>
    <t>Organizačné zabezpečenie MM SR MX Mníšek n. Hnilcom 12.7.2026</t>
  </si>
  <si>
    <t>Mzdové náklady - tréner ŠR</t>
  </si>
  <si>
    <t>DF 113/2026</t>
  </si>
  <si>
    <t>2026-0523</t>
  </si>
  <si>
    <t>Licencie FIM/FIME - ofic. Činovník PD-150€, lic. FIM MS Endurance 375€, Medzin. Licencia CPM-2x150€, Endur 4x150€, MS PD 1x600€, lic. Promotional PD - 75€, lic. Trial asistent - 75€</t>
  </si>
  <si>
    <t>DF 197/2026</t>
  </si>
  <si>
    <t>2026010</t>
  </si>
  <si>
    <t>MM SR MX Šenkvice 31.5.2026 - zdravotné zabezpečenie podujatia</t>
  </si>
  <si>
    <t>DF 222/2026</t>
  </si>
  <si>
    <t>1000094126</t>
  </si>
  <si>
    <t>MM SR CPM - Slovakia Ring 3.-5.7.2026 - športové trofeje</t>
  </si>
  <si>
    <t>DF 243/2026</t>
  </si>
  <si>
    <t>8390951489</t>
  </si>
  <si>
    <t>Pevná linka+internet - sekretariát SMF 6/2026</t>
  </si>
  <si>
    <t>35763469</t>
  </si>
  <si>
    <t>Slovak Telekom a.s.</t>
  </si>
  <si>
    <t>DF 248/2026</t>
  </si>
  <si>
    <t>47514019</t>
  </si>
  <si>
    <t>MS v motokrose juniorov - športová výstroj pre jazdcov a doprovod</t>
  </si>
  <si>
    <t>Scrub Designs sro</t>
  </si>
  <si>
    <t>DF 245/026</t>
  </si>
  <si>
    <t>1000102926</t>
  </si>
  <si>
    <t>MM SR CPM mládeže Dlhá - športové trofeje - medaile - 7 ks</t>
  </si>
  <si>
    <t>DF 250/2026</t>
  </si>
  <si>
    <t>20260512</t>
  </si>
  <si>
    <t>MM SR v triale - štítky na trofeje</t>
  </si>
  <si>
    <t>DF 252/2026</t>
  </si>
  <si>
    <t>13260182</t>
  </si>
  <si>
    <t>DF 253/2026</t>
  </si>
  <si>
    <t>2600096</t>
  </si>
  <si>
    <t>MM SR CPM mládeže - Dlhá 17.-18.7.2026 - ubytovanie - časomiera</t>
  </si>
  <si>
    <t>Klaudia Poláčková-Centrum</t>
  </si>
  <si>
    <t>DF 221/2026</t>
  </si>
  <si>
    <t>MM SR MX Šenkvice 31.5.2026 - časomiera</t>
  </si>
  <si>
    <t>Ing. Dana Mašlonková</t>
  </si>
  <si>
    <t>40128296</t>
  </si>
  <si>
    <t>DF 254/2026</t>
  </si>
  <si>
    <t>0082026</t>
  </si>
  <si>
    <t>0182026</t>
  </si>
  <si>
    <t>MM SR CPM Dlhá 17.-18.7.2026 - zdravotné zabezpečenie podujatia</t>
  </si>
  <si>
    <t>Video dokumentácia - Enduro -Lehota p. Vtáčnikom 6.-7.6.2026, CPM Hričov - 26.-28.6.2026</t>
  </si>
  <si>
    <t>DF 238/2026</t>
  </si>
  <si>
    <t>DF 189/2026</t>
  </si>
  <si>
    <t>2026001</t>
  </si>
  <si>
    <t>Korzo HM spol. s r.o.</t>
  </si>
  <si>
    <t>MM SR CPM mládež - DLhá 2.5.2026 - časomiera 800€, ubytovanie 40€</t>
  </si>
  <si>
    <t>DF 180/2026</t>
  </si>
  <si>
    <t>5260400</t>
  </si>
  <si>
    <t>Nájom kancelársky priestorov 5/2026</t>
  </si>
  <si>
    <t>DF 256/2026</t>
  </si>
  <si>
    <t>MM SR MX Mníšek nad Hnilcom - zdravotné zabezpečenie podujatiia- refundácia nákladov</t>
  </si>
  <si>
    <t xml:space="preserve">Automotoklub zz, Mníšek </t>
  </si>
  <si>
    <t>SLSP 8/2026</t>
  </si>
  <si>
    <t>20263</t>
  </si>
  <si>
    <t>ME MX Loket - štartovné Matej Masár</t>
  </si>
  <si>
    <t>Milan Masár</t>
  </si>
  <si>
    <t>DF 259/2026</t>
  </si>
  <si>
    <t>2601030</t>
  </si>
  <si>
    <t>Oblečenie pre delegovaných činovníkov SMF - technický komisár, delgát SMF</t>
  </si>
  <si>
    <t>Top kreativ, spol.sr.o.</t>
  </si>
  <si>
    <t>46161732</t>
  </si>
  <si>
    <t>DF 182/2026</t>
  </si>
  <si>
    <t>Kancelárske priestory - rekonštrukcia</t>
  </si>
  <si>
    <t>STAVEA - Ing. Anton Poliček</t>
  </si>
  <si>
    <t>32895259</t>
  </si>
  <si>
    <t>1001335874</t>
  </si>
  <si>
    <t>Odvody zamestnancov</t>
  </si>
  <si>
    <t>Odvody za zamestnancov 6/2026-tréner ŠR</t>
  </si>
  <si>
    <t>Odvody za zamestnancov 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</si>
</sst>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2"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
      <sz val="10"/>
      <color rgb="FF333333"/>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7">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49" fontId="91" fillId="3" borderId="0" xfId="0" applyNumberFormat="1" applyFont="1" applyFill="1" applyAlignment="1" applyProtection="1">
      <alignment vertical="top" wrapText="1"/>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79" val="7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topLeftCell="A67"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31"/>
      <c r="D2" s="331"/>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32"/>
      <c r="D22" s="332"/>
    </row>
    <row r="23" spans="1:4" x14ac:dyDescent="0.2">
      <c r="C23" s="333"/>
      <c r="D23" s="332"/>
    </row>
    <row r="24" spans="1:4" ht="68.099999999999994" customHeight="1" x14ac:dyDescent="0.2">
      <c r="A24" s="23" t="s">
        <v>1232</v>
      </c>
      <c r="C24" s="247"/>
      <c r="D24" s="248"/>
    </row>
    <row r="25" spans="1:4" x14ac:dyDescent="0.2">
      <c r="C25" s="329"/>
      <c r="D25" s="330"/>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7" t="str">
        <f>Spolu!C3&amp;", "&amp;Spolu!C6</f>
        <v>Slovenská motocyklová federácia, Športovcov 340, Považská Bystrica, 017 01</v>
      </c>
      <c r="B1" s="377"/>
      <c r="C1" s="377"/>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8" t="s">
        <v>1134</v>
      </c>
      <c r="F3" s="379"/>
      <c r="N3" s="137" t="str">
        <f t="shared" si="0"/>
        <v>c - príspevok Slovenskému paralympijskému výboru</v>
      </c>
      <c r="O3" s="137" t="s">
        <v>244</v>
      </c>
      <c r="P3" s="137" t="str">
        <f>Spolu!B19</f>
        <v>príspevok Slovenskému paralympijskému výboru</v>
      </c>
    </row>
    <row r="4" spans="1:16" ht="45.75" customHeight="1" x14ac:dyDescent="0.2">
      <c r="E4" s="379"/>
      <c r="F4" s="379"/>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80" t="s">
        <v>1165</v>
      </c>
      <c r="B12" s="380"/>
      <c r="C12" s="380"/>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1"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1"/>
      <c r="C13" s="381"/>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2" t="s">
        <v>1166</v>
      </c>
      <c r="C14" s="383"/>
      <c r="F14" s="302"/>
      <c r="N14" s="137" t="str">
        <f t="shared" si="0"/>
        <v xml:space="preserve">n - </v>
      </c>
      <c r="O14" s="137" t="s">
        <v>265</v>
      </c>
    </row>
    <row r="15" spans="1:16" ht="34.35" customHeight="1" x14ac:dyDescent="0.2">
      <c r="A15" s="139" t="s">
        <v>1167</v>
      </c>
      <c r="B15" s="382"/>
      <c r="C15" s="383"/>
      <c r="F15" s="385"/>
      <c r="N15" s="137" t="str">
        <f t="shared" si="0"/>
        <v xml:space="preserve">o - </v>
      </c>
      <c r="O15" s="137" t="s">
        <v>266</v>
      </c>
    </row>
    <row r="16" spans="1:16" x14ac:dyDescent="0.2">
      <c r="A16" s="139" t="s">
        <v>1152</v>
      </c>
      <c r="B16" s="142">
        <f>F8</f>
        <v>0</v>
      </c>
      <c r="C16" s="137"/>
      <c r="F16" s="385"/>
      <c r="N16" s="137" t="str">
        <f t="shared" si="0"/>
        <v xml:space="preserve">p - </v>
      </c>
      <c r="O16" s="137" t="s">
        <v>267</v>
      </c>
    </row>
    <row r="17" spans="1:16" ht="32.1" customHeight="1" x14ac:dyDescent="0.2">
      <c r="A17" s="139" t="s">
        <v>1155</v>
      </c>
      <c r="B17" s="142">
        <f>F9</f>
        <v>0</v>
      </c>
      <c r="C17" s="137"/>
      <c r="F17" s="385"/>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30813883</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4" t="s">
        <v>1160</v>
      </c>
      <c r="C24" s="384"/>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6" t="s">
        <v>1172</v>
      </c>
      <c r="B2" s="386"/>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34" t="s">
        <v>51</v>
      </c>
      <c r="B1" s="334"/>
      <c r="C1" s="334"/>
      <c r="D1" s="334"/>
      <c r="E1" s="334"/>
      <c r="F1" s="334"/>
      <c r="G1" s="334"/>
      <c r="H1" s="334"/>
      <c r="I1" s="52"/>
      <c r="J1" s="37"/>
    </row>
    <row r="2" spans="1:11" ht="15" x14ac:dyDescent="0.25">
      <c r="A2" s="340" t="str">
        <f>Doklady!A100</f>
        <v>Priebežné čerpanie a vyúčtovanie finančných prostriedkov poskytnutých zo štátneho rozpočtu v oblasti športu v roku 2026</v>
      </c>
      <c r="B2" s="340"/>
      <c r="C2" s="340"/>
      <c r="D2" s="340"/>
      <c r="E2" s="340"/>
      <c r="F2" s="340"/>
      <c r="G2" s="340"/>
      <c r="H2" s="338" t="str">
        <f>+Doklady!I100</f>
        <v>V1</v>
      </c>
      <c r="I2" s="338"/>
    </row>
    <row r="3" spans="1:11" ht="15" x14ac:dyDescent="0.25">
      <c r="A3" s="40"/>
      <c r="B3" s="40"/>
      <c r="C3" s="40"/>
      <c r="D3" s="40"/>
      <c r="E3" s="40"/>
      <c r="F3" s="40"/>
      <c r="G3" s="40"/>
      <c r="H3" s="339">
        <f>+Doklady!I101</f>
        <v>46053</v>
      </c>
      <c r="I3" s="339"/>
    </row>
    <row r="4" spans="1:11" ht="15.75" customHeight="1" x14ac:dyDescent="0.2">
      <c r="A4" s="41" t="s">
        <v>52</v>
      </c>
      <c r="B4" s="335" t="s">
        <v>53</v>
      </c>
      <c r="C4" s="336"/>
      <c r="D4" s="336"/>
      <c r="E4" s="337"/>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 sqref="C1"/>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43" t="s">
        <v>1561</v>
      </c>
      <c r="B1" s="344"/>
      <c r="C1" s="166">
        <v>46234</v>
      </c>
      <c r="D1" s="26"/>
      <c r="G1" s="244">
        <v>46053</v>
      </c>
    </row>
    <row r="2" spans="1:7" ht="15" x14ac:dyDescent="0.25">
      <c r="A2" s="28"/>
      <c r="B2" s="28"/>
      <c r="G2" s="244">
        <v>46081</v>
      </c>
    </row>
    <row r="3" spans="1:7" ht="14.25" x14ac:dyDescent="0.2">
      <c r="A3" s="30" t="s">
        <v>214</v>
      </c>
      <c r="B3" s="341" t="str">
        <f>INDEX(Adr!B:B,Doklady!B102+1)</f>
        <v>Slovenská motocyklová federácia</v>
      </c>
      <c r="C3" s="341"/>
      <c r="D3" s="341"/>
      <c r="G3" s="244">
        <v>46112</v>
      </c>
    </row>
    <row r="4" spans="1:7" ht="14.25" x14ac:dyDescent="0.2">
      <c r="A4" s="30" t="s">
        <v>215</v>
      </c>
      <c r="B4" s="29" t="str">
        <f>RIGHT("0000"&amp;INDEX(Adr!A:A,Doklady!B102+1),8)</f>
        <v>30813883</v>
      </c>
      <c r="G4" s="244">
        <v>46142</v>
      </c>
    </row>
    <row r="5" spans="1:7" ht="14.25" x14ac:dyDescent="0.2">
      <c r="A5" s="30" t="s">
        <v>216</v>
      </c>
      <c r="B5" s="29" t="str">
        <f>INDEX(Adr!D:D,Doklady!B102+1)&amp;", "&amp;INDEX(Adr!E:E,Doklady!B102+1)</f>
        <v>Športovcov 340, Považská Bystrica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225905</v>
      </c>
      <c r="G11" s="244">
        <v>46356</v>
      </c>
    </row>
    <row r="12" spans="1:7" ht="14.25" x14ac:dyDescent="0.2">
      <c r="A12" s="133" t="s">
        <v>223</v>
      </c>
      <c r="B12" s="134" t="s">
        <v>224</v>
      </c>
      <c r="C12" s="167">
        <f>+Spolu!C12</f>
        <v>8000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233905</v>
      </c>
      <c r="G15" s="244"/>
    </row>
    <row r="16" spans="1:7" ht="14.25" x14ac:dyDescent="0.2">
      <c r="G16" s="244"/>
    </row>
    <row r="17" spans="1:5" ht="72" customHeight="1" x14ac:dyDescent="0.2">
      <c r="A17" s="342" t="s">
        <v>230</v>
      </c>
      <c r="B17" s="342"/>
      <c r="C17" s="342"/>
      <c r="D17" s="342"/>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64" t="str">
        <f>Doklady!A100</f>
        <v>Priebežné čerpanie a vyúčtovanie finančných prostriedkov poskytnutých zo štátneho rozpočtu v oblasti športu v roku 2026</v>
      </c>
      <c r="B1" s="364"/>
      <c r="C1" s="364"/>
      <c r="D1" s="364"/>
      <c r="E1" s="364"/>
      <c r="F1" s="364"/>
      <c r="G1" s="364"/>
      <c r="H1" s="364"/>
      <c r="I1" s="364"/>
    </row>
    <row r="2" spans="1:26" ht="7.5" customHeight="1" x14ac:dyDescent="0.2">
      <c r="C2" s="8"/>
      <c r="D2" s="8"/>
      <c r="E2" s="8"/>
      <c r="F2" s="8"/>
      <c r="G2" s="8"/>
      <c r="H2" s="8"/>
      <c r="I2" s="8"/>
    </row>
    <row r="3" spans="1:26" s="9" customFormat="1" ht="26.1" customHeight="1" x14ac:dyDescent="0.2">
      <c r="B3" s="152" t="s">
        <v>52</v>
      </c>
      <c r="C3" s="365" t="str">
        <f>INDEX(Adr!B2:B242,Doklady!B102)</f>
        <v>Slovenská motocyklová federácia</v>
      </c>
      <c r="D3" s="365"/>
      <c r="E3" s="365"/>
      <c r="F3" s="365"/>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30813883</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Športovcov 340, Považská Bystrica, 017 01</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66" t="s">
        <v>235</v>
      </c>
      <c r="F9" s="367"/>
      <c r="J9" s="8"/>
      <c r="L9" s="118"/>
      <c r="M9" s="118"/>
      <c r="N9" s="118"/>
      <c r="O9" s="118"/>
      <c r="P9" s="118"/>
      <c r="Q9" s="118"/>
      <c r="R9" s="118"/>
      <c r="S9" s="118"/>
    </row>
    <row r="10" spans="1:26" ht="18" x14ac:dyDescent="0.25">
      <c r="A10" s="69" t="s">
        <v>219</v>
      </c>
      <c r="B10" s="70" t="s">
        <v>220</v>
      </c>
      <c r="C10" s="126">
        <f>SUMIF(FP!J:J,Doklady!$B$1&amp;A10,FP!D:D)</f>
        <v>0</v>
      </c>
      <c r="D10" s="126">
        <f>C10-E10</f>
        <v>0</v>
      </c>
      <c r="E10" s="360">
        <f>SUMIF(K:K,A10,I:I)</f>
        <v>0</v>
      </c>
      <c r="F10" s="361"/>
      <c r="L10" s="120" t="s">
        <v>236</v>
      </c>
      <c r="M10" s="118"/>
      <c r="N10" s="118"/>
      <c r="O10" s="118"/>
      <c r="P10" s="118"/>
      <c r="Q10" s="118"/>
      <c r="R10" s="118"/>
      <c r="S10" s="118"/>
    </row>
    <row r="11" spans="1:26" ht="18" x14ac:dyDescent="0.25">
      <c r="A11" s="69" t="s">
        <v>221</v>
      </c>
      <c r="B11" s="70" t="s">
        <v>222</v>
      </c>
      <c r="C11" s="126">
        <f>SUMIF(FP!J:J,Doklady!$B$1&amp;A11,FP!D:D)</f>
        <v>225905</v>
      </c>
      <c r="D11" s="126">
        <f>+C11-E11</f>
        <v>95244.21</v>
      </c>
      <c r="E11" s="368">
        <f>+I39-I42+I44-I47</f>
        <v>130660.79</v>
      </c>
      <c r="F11" s="369"/>
      <c r="J11" s="168"/>
      <c r="L11" s="153" t="str">
        <f>L41</f>
        <v>a - motocyklový šport - bežné transfery</v>
      </c>
      <c r="M11" s="118"/>
      <c r="N11" s="118"/>
      <c r="O11" s="118"/>
      <c r="P11" s="118"/>
      <c r="Q11" s="118"/>
      <c r="R11" s="118"/>
      <c r="S11" s="118"/>
    </row>
    <row r="12" spans="1:26" ht="18" x14ac:dyDescent="0.25">
      <c r="A12" s="69" t="s">
        <v>223</v>
      </c>
      <c r="B12" s="70" t="s">
        <v>224</v>
      </c>
      <c r="C12" s="126">
        <f>SUMIF(FP!J:J,Doklady!$B$1&amp;A12,FP!D:D)</f>
        <v>8000</v>
      </c>
      <c r="D12" s="126">
        <f>C12-E12</f>
        <v>0</v>
      </c>
      <c r="E12" s="360">
        <f>SUMIF(K:K,A12,I:I)</f>
        <v>8000</v>
      </c>
      <c r="F12" s="361"/>
      <c r="J12" s="169"/>
      <c r="L12" s="153" t="str">
        <f>L42</f>
        <v>a - motocyklový šport - kapitálové transfery</v>
      </c>
      <c r="N12" s="118"/>
      <c r="O12" s="118"/>
      <c r="P12" s="118"/>
      <c r="Q12" s="118"/>
      <c r="R12" s="118"/>
      <c r="S12" s="118"/>
    </row>
    <row r="13" spans="1:26" ht="18" x14ac:dyDescent="0.25">
      <c r="A13" s="69" t="s">
        <v>225</v>
      </c>
      <c r="B13" s="70" t="s">
        <v>226</v>
      </c>
      <c r="C13" s="126">
        <f>SUMIF(FP!J:J,Doklady!$B$1&amp;A13,FP!D:D)</f>
        <v>0</v>
      </c>
      <c r="D13" s="126">
        <f>C13-E13</f>
        <v>0</v>
      </c>
      <c r="E13" s="360">
        <f>SUMIF(K:K,A13,I:I)</f>
        <v>0</v>
      </c>
      <c r="F13" s="361"/>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70">
        <f>SUMIF(K:K,A14,I:I)</f>
        <v>0</v>
      </c>
      <c r="F14" s="371"/>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52" t="s">
        <v>238</v>
      </c>
      <c r="C16" s="353"/>
      <c r="D16" s="353"/>
      <c r="E16" s="353"/>
      <c r="F16" s="353"/>
      <c r="G16" s="353"/>
      <c r="H16" s="354"/>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5" t="s">
        <v>241</v>
      </c>
      <c r="C17" s="355"/>
      <c r="D17" s="355"/>
      <c r="E17" s="355"/>
      <c r="F17" s="355"/>
      <c r="G17" s="355"/>
      <c r="H17" s="355"/>
      <c r="I17" s="73">
        <f>SUMIF(FP!I:I,Doklady!$B$1&amp;A17,FP!D:D)</f>
        <v>225905</v>
      </c>
      <c r="T17" s="86"/>
    </row>
    <row r="18" spans="1:20" x14ac:dyDescent="0.2">
      <c r="A18" s="135" t="s">
        <v>242</v>
      </c>
      <c r="B18" s="355" t="s">
        <v>243</v>
      </c>
      <c r="C18" s="355"/>
      <c r="D18" s="355"/>
      <c r="E18" s="355"/>
      <c r="F18" s="355"/>
      <c r="G18" s="355"/>
      <c r="H18" s="355"/>
      <c r="I18" s="73">
        <f>SUMIF(FP!I:I,Doklady!$B$1&amp;A18,FP!D:D)</f>
        <v>0</v>
      </c>
    </row>
    <row r="19" spans="1:20" x14ac:dyDescent="0.2">
      <c r="A19" s="115" t="s">
        <v>244</v>
      </c>
      <c r="B19" s="355" t="s">
        <v>245</v>
      </c>
      <c r="C19" s="355"/>
      <c r="D19" s="355"/>
      <c r="E19" s="355"/>
      <c r="F19" s="355"/>
      <c r="G19" s="355"/>
      <c r="H19" s="355"/>
      <c r="I19" s="73">
        <f>SUMIF(FP!I:I,Doklady!$B$1&amp;A19,FP!D:D)</f>
        <v>0</v>
      </c>
    </row>
    <row r="20" spans="1:20" x14ac:dyDescent="0.2">
      <c r="A20" s="135" t="s">
        <v>246</v>
      </c>
      <c r="B20" s="349" t="s">
        <v>247</v>
      </c>
      <c r="C20" s="350"/>
      <c r="D20" s="350"/>
      <c r="E20" s="350"/>
      <c r="F20" s="350"/>
      <c r="G20" s="350"/>
      <c r="H20" s="351"/>
      <c r="I20" s="73">
        <f>SUMIF(FP!I:I,Doklady!$B$1&amp;A20,FP!D:D)</f>
        <v>8000</v>
      </c>
      <c r="T20" s="86"/>
    </row>
    <row r="21" spans="1:20" x14ac:dyDescent="0.2">
      <c r="A21" s="115" t="s">
        <v>248</v>
      </c>
      <c r="B21" s="349" t="s">
        <v>249</v>
      </c>
      <c r="C21" s="350"/>
      <c r="D21" s="350"/>
      <c r="E21" s="350"/>
      <c r="F21" s="350"/>
      <c r="G21" s="350"/>
      <c r="H21" s="351"/>
      <c r="I21" s="73">
        <f>SUMIF(FP!I:I,Doklady!$B$1&amp;A21,FP!D:D)</f>
        <v>0</v>
      </c>
      <c r="T21" s="86"/>
    </row>
    <row r="22" spans="1:20" x14ac:dyDescent="0.2">
      <c r="A22" s="135" t="s">
        <v>250</v>
      </c>
      <c r="B22" s="356" t="s">
        <v>251</v>
      </c>
      <c r="C22" s="357"/>
      <c r="D22" s="357"/>
      <c r="E22" s="357"/>
      <c r="F22" s="357"/>
      <c r="G22" s="357"/>
      <c r="H22" s="358"/>
      <c r="I22" s="73">
        <f>SUMIF(FP!I:I,Doklady!$B$1&amp;A22,FP!D:D)</f>
        <v>0</v>
      </c>
      <c r="T22" s="86"/>
    </row>
    <row r="23" spans="1:20" x14ac:dyDescent="0.2">
      <c r="A23" s="115" t="s">
        <v>252</v>
      </c>
      <c r="B23" s="349" t="s">
        <v>253</v>
      </c>
      <c r="C23" s="350"/>
      <c r="D23" s="350"/>
      <c r="E23" s="350"/>
      <c r="F23" s="350"/>
      <c r="G23" s="350"/>
      <c r="H23" s="351"/>
      <c r="I23" s="73">
        <f>SUMIF(FP!I:I,Doklady!$B$1&amp;A23,FP!D:D)</f>
        <v>0</v>
      </c>
      <c r="T23" s="86"/>
    </row>
    <row r="24" spans="1:20" x14ac:dyDescent="0.2">
      <c r="A24" s="135" t="s">
        <v>254</v>
      </c>
      <c r="B24" s="349" t="s">
        <v>255</v>
      </c>
      <c r="C24" s="350"/>
      <c r="D24" s="350"/>
      <c r="E24" s="350"/>
      <c r="F24" s="350"/>
      <c r="G24" s="350"/>
      <c r="H24" s="351"/>
      <c r="I24" s="73">
        <f>SUMIF(FP!I:I,Doklady!$B$1&amp;A24,FP!D:D)</f>
        <v>0</v>
      </c>
      <c r="T24" s="86"/>
    </row>
    <row r="25" spans="1:20" x14ac:dyDescent="0.2">
      <c r="A25" s="115" t="s">
        <v>256</v>
      </c>
      <c r="B25" s="372" t="s">
        <v>1464</v>
      </c>
      <c r="C25" s="373"/>
      <c r="D25" s="373"/>
      <c r="E25" s="373"/>
      <c r="F25" s="373"/>
      <c r="G25" s="373"/>
      <c r="H25" s="374"/>
      <c r="I25" s="73">
        <f>SUMIF(FP!I:I,Doklady!$B$1&amp;A25,FP!D:D)</f>
        <v>0</v>
      </c>
      <c r="T25" s="86"/>
    </row>
    <row r="26" spans="1:20" x14ac:dyDescent="0.2">
      <c r="A26" s="135" t="s">
        <v>257</v>
      </c>
      <c r="B26" s="349" t="s">
        <v>258</v>
      </c>
      <c r="C26" s="350"/>
      <c r="D26" s="350"/>
      <c r="E26" s="350"/>
      <c r="F26" s="350"/>
      <c r="G26" s="350"/>
      <c r="H26" s="351"/>
      <c r="I26" s="73">
        <f>SUMIF(FP!I:I,Doklady!$B$1&amp;A26,FP!D:D)</f>
        <v>0</v>
      </c>
      <c r="T26" s="86"/>
    </row>
    <row r="27" spans="1:20" x14ac:dyDescent="0.2">
      <c r="A27" s="115" t="s">
        <v>259</v>
      </c>
      <c r="B27" s="349" t="s">
        <v>260</v>
      </c>
      <c r="C27" s="350"/>
      <c r="D27" s="350"/>
      <c r="E27" s="350"/>
      <c r="F27" s="350"/>
      <c r="G27" s="350"/>
      <c r="H27" s="351"/>
      <c r="I27" s="73">
        <f>SUMIF(FP!I:I,Doklady!$B$1&amp;A27,FP!D:D)</f>
        <v>0</v>
      </c>
      <c r="T27" s="86"/>
    </row>
    <row r="28" spans="1:20" x14ac:dyDescent="0.2">
      <c r="A28" s="135" t="s">
        <v>261</v>
      </c>
      <c r="B28" s="349" t="s">
        <v>1476</v>
      </c>
      <c r="C28" s="350"/>
      <c r="D28" s="350"/>
      <c r="E28" s="350"/>
      <c r="F28" s="350"/>
      <c r="G28" s="350"/>
      <c r="H28" s="351"/>
      <c r="I28" s="73">
        <f>SUMIF(FP!I:I,Doklady!$B$1&amp;A28,FP!D:D)</f>
        <v>0</v>
      </c>
      <c r="T28" s="86"/>
    </row>
    <row r="29" spans="1:20" x14ac:dyDescent="0.2">
      <c r="A29" s="115" t="s">
        <v>263</v>
      </c>
      <c r="B29" s="349" t="s">
        <v>264</v>
      </c>
      <c r="C29" s="350"/>
      <c r="D29" s="350"/>
      <c r="E29" s="350"/>
      <c r="F29" s="350"/>
      <c r="G29" s="350"/>
      <c r="H29" s="351"/>
      <c r="I29" s="73">
        <f>SUMIF(FP!I:I,Doklady!$B$1&amp;A29,FP!D:D)</f>
        <v>0</v>
      </c>
      <c r="T29" s="86"/>
    </row>
    <row r="30" spans="1:20" hidden="1" x14ac:dyDescent="0.2">
      <c r="A30" s="135" t="s">
        <v>265</v>
      </c>
      <c r="B30" s="349"/>
      <c r="C30" s="350"/>
      <c r="D30" s="350"/>
      <c r="E30" s="350"/>
      <c r="F30" s="350"/>
      <c r="G30" s="350"/>
      <c r="H30" s="351"/>
      <c r="I30" s="73">
        <f>SUMIF(FP!I:I,Doklady!$B$1&amp;A30,FP!D:D)</f>
        <v>0</v>
      </c>
      <c r="T30" s="86"/>
    </row>
    <row r="31" spans="1:20" hidden="1" x14ac:dyDescent="0.2">
      <c r="A31" s="115" t="s">
        <v>266</v>
      </c>
      <c r="B31" s="349"/>
      <c r="C31" s="350"/>
      <c r="D31" s="350"/>
      <c r="E31" s="350"/>
      <c r="F31" s="350"/>
      <c r="G31" s="350"/>
      <c r="H31" s="351"/>
      <c r="I31" s="73">
        <f>SUMIF(FP!I:I,Doklady!$B$1&amp;A31,FP!D:D)</f>
        <v>0</v>
      </c>
      <c r="T31" s="86"/>
    </row>
    <row r="32" spans="1:20" hidden="1" x14ac:dyDescent="0.2">
      <c r="A32" s="135" t="s">
        <v>267</v>
      </c>
      <c r="B32" s="345"/>
      <c r="C32" s="346"/>
      <c r="D32" s="346"/>
      <c r="E32" s="346"/>
      <c r="F32" s="346"/>
      <c r="G32" s="346"/>
      <c r="H32" s="347"/>
      <c r="I32" s="73">
        <f>SUMIF(FP!I:I,Doklady!$B$1&amp;A32,FP!D:D)</f>
        <v>0</v>
      </c>
      <c r="T32" s="86"/>
    </row>
    <row r="33" spans="1:21" hidden="1" x14ac:dyDescent="0.2">
      <c r="A33" s="115" t="s">
        <v>268</v>
      </c>
      <c r="B33" s="345"/>
      <c r="C33" s="346"/>
      <c r="D33" s="346"/>
      <c r="E33" s="346"/>
      <c r="F33" s="346"/>
      <c r="G33" s="346"/>
      <c r="H33" s="347"/>
      <c r="I33" s="73">
        <f>SUMIF(FP!I:I,Doklady!$B$1&amp;A33,FP!D:D)</f>
        <v>0</v>
      </c>
      <c r="T33" s="86"/>
    </row>
    <row r="34" spans="1:21" hidden="1" x14ac:dyDescent="0.2">
      <c r="A34" s="135" t="s">
        <v>269</v>
      </c>
      <c r="B34" s="348"/>
      <c r="C34" s="348"/>
      <c r="D34" s="348"/>
      <c r="E34" s="348"/>
      <c r="F34" s="348"/>
      <c r="G34" s="348"/>
      <c r="H34" s="348"/>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motocyklový šport</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45181</v>
      </c>
      <c r="D39" s="78">
        <f>I39*0.2</f>
        <v>45181</v>
      </c>
      <c r="E39" s="78">
        <f>I39*0.25</f>
        <v>56476.25</v>
      </c>
      <c r="F39" s="78">
        <f>+I39*0.15</f>
        <v>33885.75</v>
      </c>
      <c r="G39" s="78">
        <f>+MAX(I39-C39-D39-E39-F39-H39,0)</f>
        <v>45181</v>
      </c>
      <c r="H39" s="78">
        <f>+IFERROR(VLOOKUP(K40&amp;" - kapitálové transfery",B$53:C$90,2,0),0)</f>
        <v>0</v>
      </c>
      <c r="I39" s="73">
        <f>SUMIF(FP!K:K,K40,FP!D:D)</f>
        <v>225905</v>
      </c>
      <c r="L39" s="84">
        <f>COUNTIF(FP!N:N,Doklady!B1&amp;"aK")</f>
        <v>0</v>
      </c>
      <c r="T39" s="86"/>
    </row>
    <row r="40" spans="1:21" x14ac:dyDescent="0.2">
      <c r="A40" s="115" t="s">
        <v>240</v>
      </c>
      <c r="B40" s="116" t="s">
        <v>274</v>
      </c>
      <c r="C40" s="78">
        <f>DSUM(Doklady!A103:J10000,"GGG",Spolu!L40:M42)</f>
        <v>10022.450000000001</v>
      </c>
      <c r="D40" s="78">
        <f>DSUM(Doklady!A103:J10000,"GGG",Spolu!N40:O42)</f>
        <v>11880.840000000002</v>
      </c>
      <c r="E40" s="78">
        <f>DSUM(Doklady!A103:J10000,"GGG",Spolu!P40:Q42)</f>
        <v>27212.61</v>
      </c>
      <c r="F40" s="78">
        <f>DSUM(Doklady!A103:J10000,"GGG",Spolu!R40:S42)</f>
        <v>11659.12</v>
      </c>
      <c r="G40" s="78">
        <f>DSUM(Doklady!A103:J10000,"GGG",Spolu!T40:U42)-H40</f>
        <v>34469.19</v>
      </c>
      <c r="H40" s="78">
        <f>+IFERROR(VLOOKUP(K40&amp;" - kapitálové transfery",B$53:D$90,3,0),0)</f>
        <v>0</v>
      </c>
      <c r="I40" s="73">
        <f>+C40+D40+E40+F40+G40+H40</f>
        <v>95244.21</v>
      </c>
      <c r="J40" s="210" t="str">
        <f>+K45</f>
        <v>.</v>
      </c>
      <c r="K40" s="210" t="str">
        <f>IF(L38&gt;0,INDEX(FP!K:K,Doklady!B2),".")</f>
        <v>motocyklový šport</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35158.550000000003</v>
      </c>
      <c r="D41" s="78">
        <f>MAX(D39-D40,0)</f>
        <v>33300.159999999996</v>
      </c>
      <c r="E41" s="78">
        <f>MAX(E39-E40,0)</f>
        <v>29263.64</v>
      </c>
      <c r="F41" s="78">
        <f>MIN(I39,MAX(-F39+F40,0))</f>
        <v>0</v>
      </c>
      <c r="G41" s="78">
        <f>MIN(J39,MAX(-G39+G40+MIN(F40-F39,0),0))</f>
        <v>0</v>
      </c>
      <c r="H41" s="78">
        <f>MAX(H39-H40,0)</f>
        <v>0</v>
      </c>
      <c r="I41" s="124">
        <f>+I39-I42</f>
        <v>130660.79</v>
      </c>
      <c r="J41" s="211">
        <f>+K46</f>
        <v>0</v>
      </c>
      <c r="K41" s="211">
        <f>+I41-H41</f>
        <v>130660.79</v>
      </c>
      <c r="L41" s="153" t="str">
        <f>IF(L38&gt;0,"a - "&amp;INDEX(FP!C:C,Doklady!B2),2)</f>
        <v>a - motocyklový šport - bežné transfery</v>
      </c>
      <c r="M41" s="120">
        <v>1</v>
      </c>
      <c r="N41" s="153" t="str">
        <f>+L41</f>
        <v>a - motocyklový šport - bežné transfery</v>
      </c>
      <c r="O41" s="120">
        <v>2</v>
      </c>
      <c r="P41" s="153" t="str">
        <f>+L41</f>
        <v>a - motocyklový šport - bežné transfery</v>
      </c>
      <c r="Q41" s="120">
        <v>3</v>
      </c>
      <c r="R41" s="153" t="str">
        <f>+L41</f>
        <v>a - motocyklový šport - bežné transfery</v>
      </c>
      <c r="S41" s="120">
        <v>4</v>
      </c>
      <c r="T41" s="153" t="str">
        <f>+L41</f>
        <v>a - motocyklový šport - bežné transfery</v>
      </c>
      <c r="U41" s="120">
        <v>5</v>
      </c>
    </row>
    <row r="42" spans="1:21" ht="10.5" customHeight="1" x14ac:dyDescent="0.2">
      <c r="A42" s="115" t="s">
        <v>240</v>
      </c>
      <c r="B42" s="116" t="s">
        <v>277</v>
      </c>
      <c r="C42" s="73">
        <f>+C40</f>
        <v>10022.450000000001</v>
      </c>
      <c r="D42" s="208">
        <f>+D40</f>
        <v>11880.840000000002</v>
      </c>
      <c r="E42" s="208">
        <f>+E40</f>
        <v>27212.61</v>
      </c>
      <c r="F42" s="208">
        <f>+MIN(F39:F40)</f>
        <v>11659.12</v>
      </c>
      <c r="G42" s="208">
        <f>+MIN(G39+MAX(F39-F40,0)-MAX(E40-E39,0)-MAX(D40-D39,0)-MAX(C40-C39,0),G40)</f>
        <v>34469.19</v>
      </c>
      <c r="H42" s="208">
        <f>+MIN(H39:H40)</f>
        <v>0</v>
      </c>
      <c r="I42" s="73">
        <f>+C42+D42+E42+MIN(F39:F40)+G42+H42</f>
        <v>95244.21</v>
      </c>
      <c r="J42" s="211">
        <f>+K47</f>
        <v>0</v>
      </c>
      <c r="K42" s="211">
        <f>+I42-H42</f>
        <v>95244.21</v>
      </c>
      <c r="L42" s="153" t="str">
        <f>+SUBSTITUTE(L41,"bežné","kapitálové")</f>
        <v>a - motocyklový šport - kapitálové transfery</v>
      </c>
      <c r="M42" s="120">
        <v>1</v>
      </c>
      <c r="N42" s="153" t="str">
        <f>+L42</f>
        <v>a - motocyklový šport - kapitálové transfery</v>
      </c>
      <c r="O42" s="120">
        <v>2</v>
      </c>
      <c r="P42" s="153" t="str">
        <f>+L42</f>
        <v>a - motocyklový šport - kapitálové transfery</v>
      </c>
      <c r="Q42" s="120">
        <v>3</v>
      </c>
      <c r="R42" s="153" t="str">
        <f>+L42</f>
        <v>a - motocyklový šport - kapitálové transfery</v>
      </c>
      <c r="S42" s="120">
        <v>4</v>
      </c>
      <c r="T42" s="153" t="str">
        <f>+L42</f>
        <v>a - motocyklový šport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62"/>
      <c r="B50" s="363"/>
      <c r="C50" s="363"/>
      <c r="D50" s="363"/>
      <c r="E50" s="363"/>
      <c r="F50" s="363"/>
      <c r="G50" s="363"/>
      <c r="H50" s="363"/>
      <c r="I50" s="363"/>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motocyklový šport - bežné transfery</v>
      </c>
      <c r="C53" s="73">
        <f>IF(A53&lt;&gt;"",INDEX(FP!D:D,Doklady!B$2+(ROW()-53)),"")</f>
        <v>225905</v>
      </c>
      <c r="D53" s="73">
        <f>IF(A53&lt;&gt;"",Doklady!I1-Doklady!J1,"")</f>
        <v>95244.209999999977</v>
      </c>
      <c r="E53" s="73">
        <f>IF(A53&lt;&gt;"",MIN(D53,C53)*Doklady!C1/(1-Doklady!C1),"")</f>
        <v>0</v>
      </c>
      <c r="F53" s="71">
        <f>IF(A53&lt;&gt;"",Doklady!J1,"")</f>
        <v>0</v>
      </c>
      <c r="G53" s="73">
        <f>+IFERROR(HLOOKUP(IF(RIGHT(B53,15)="bežné transfery",LEFT(B53,LEN(B53)-18),0),$J$40:$K$42,3,0),MIN(C53,D53))</f>
        <v>95244.21</v>
      </c>
      <c r="H53" s="71"/>
      <c r="I53" s="73">
        <f>IF(A53&lt;&gt;"",MAX(IF(G53&lt;C53,C53-G53,0)+IF(F53&lt;E53,E53-F53,0),0),0)</f>
        <v>130660.79</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d</v>
      </c>
      <c r="B54" s="119" t="str">
        <f>Doklady!H2</f>
        <v>Urbančok Šimon</v>
      </c>
      <c r="C54" s="73">
        <f>IF(A54&lt;&gt;"",INDEX(FP!D:D,Doklady!B$2+(ROW()-53)),"")</f>
        <v>8000</v>
      </c>
      <c r="D54" s="73">
        <f>IF(A54&lt;&gt;"",Doklady!I2-Doklady!J2,"")</f>
        <v>0</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8000</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hidden="1"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hidden="1"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hidden="1"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hidden="1"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hidden="1"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hidden="1"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hidden="1"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idden="1"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idden="1"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idden="1"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hidden="1"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idden="1"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idden="1"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idden="1"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idden="1"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idden="1"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idden="1"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idden="1"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idden="1"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idden="1"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idden="1"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idden="1"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idden="1"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idden="1"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idden="1"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idden="1"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idden="1"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idden="1"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idden="1"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idden="1"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idden="1"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idden="1"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idden="1"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idden="1"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idden="1"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idden="1"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233905</v>
      </c>
      <c r="D130" s="220">
        <f t="shared" ref="D130:I130" si="9">SUM(D53:D129)</f>
        <v>95244.209999999977</v>
      </c>
      <c r="E130" s="220">
        <f t="shared" si="9"/>
        <v>0</v>
      </c>
      <c r="F130" s="220">
        <f t="shared" si="9"/>
        <v>0</v>
      </c>
      <c r="G130" s="220">
        <f t="shared" si="9"/>
        <v>95244.21</v>
      </c>
      <c r="H130" s="220">
        <f t="shared" si="9"/>
        <v>0</v>
      </c>
      <c r="I130" s="220">
        <f t="shared" si="9"/>
        <v>138660.78999999998</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75"/>
      <c r="E140" s="375"/>
      <c r="F140" s="375"/>
      <c r="G140" s="375"/>
      <c r="H140" s="375"/>
      <c r="I140" s="375"/>
      <c r="J140" s="85"/>
    </row>
    <row r="141" spans="1:26" ht="68.25" customHeight="1" x14ac:dyDescent="0.2">
      <c r="A141" s="9"/>
      <c r="B141" s="273" t="s">
        <v>293</v>
      </c>
      <c r="C141" s="206"/>
      <c r="D141" s="359" t="s">
        <v>294</v>
      </c>
      <c r="E141" s="359"/>
      <c r="F141" s="359"/>
      <c r="G141" s="359"/>
      <c r="H141" s="359"/>
      <c r="I141" s="359"/>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90" zoomScaleNormal="100" workbookViewId="0">
      <selection activeCell="J236" sqref="J236"/>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motocyklový šport - bežné transfery</v>
      </c>
      <c r="B1" s="224" t="str">
        <f>INDEX(Adr!A:A,B102+1)</f>
        <v>30813883</v>
      </c>
      <c r="C1" s="225">
        <f>IF(ROW()&lt;=B$3,INDEX(FP!E:E,B$2+ROW()-1),"")</f>
        <v>0</v>
      </c>
      <c r="D1" s="226" t="str">
        <f>IF(ROW()&lt;=B$3,INDEX(FP!F:F,B$2+ROW()-1),"")</f>
        <v>a</v>
      </c>
      <c r="E1" s="226"/>
      <c r="F1" s="226" t="str">
        <f>IF(ROW()&lt;=B$3,INDEX(FP!G:G,B$2+ROW()-1),"")</f>
        <v>026 02</v>
      </c>
      <c r="G1" s="226"/>
      <c r="H1" s="227" t="str">
        <f>IF(ROW()&lt;=B$3,INDEX(FP!C:C,B$2+ROW()-1),"")</f>
        <v>motocyklový šport - bežné transfery</v>
      </c>
      <c r="I1" s="228">
        <f t="shared" ref="I1:I6" si="0">IF(ROW()&lt;=B$3,SUMIF(A$107:A$10042,A1,I$107:I$10042),"")</f>
        <v>95244.209999999977</v>
      </c>
      <c r="J1" s="228">
        <f t="shared" ref="J1:J32" si="1">IF(ROW()&lt;=B$3,SUMIFS(I$103:I$50042,A$103:A$50042,K1,J$103:J$50042,L1),"")</f>
        <v>0</v>
      </c>
      <c r="K1" s="110" t="str">
        <f>$A1</f>
        <v>a - motocyklový šport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d - Urbančok Šimon</v>
      </c>
      <c r="B2" s="229">
        <f>MATCH(B1,FP!A:A,0)</f>
        <v>169</v>
      </c>
      <c r="C2" s="225">
        <f>IF(ROW()&lt;=B$3,INDEX(FP!E:E,B$2+ROW()-1),"")</f>
        <v>0</v>
      </c>
      <c r="D2" s="226" t="str">
        <f>IF(ROW()&lt;=B$3,INDEX(FP!F:F,B$2+ROW()-1),"")</f>
        <v>d</v>
      </c>
      <c r="E2" s="226"/>
      <c r="F2" s="226" t="str">
        <f>IF(ROW()&lt;=B$3,INDEX(FP!G:G,B$2+ROW()-1),"")</f>
        <v>026 03</v>
      </c>
      <c r="G2" s="226"/>
      <c r="H2" s="227" t="str">
        <f>IF(ROW()&lt;=B$3,INDEX(FP!C:C,B$2+ROW()-1),"")</f>
        <v>Urbančok Šimon</v>
      </c>
      <c r="I2" s="228">
        <f t="shared" si="0"/>
        <v>0</v>
      </c>
      <c r="J2" s="228">
        <f t="shared" si="1"/>
        <v>0</v>
      </c>
      <c r="K2" s="110" t="str">
        <f>$A2</f>
        <v>d - Urbančok Šimon</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2</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d - Urbančok Šimon</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23" t="s">
        <v>1479</v>
      </c>
      <c r="B100" s="323"/>
      <c r="C100" s="323"/>
      <c r="D100" s="323"/>
      <c r="E100" s="323"/>
      <c r="F100" s="323"/>
      <c r="G100" s="323"/>
      <c r="H100" s="323"/>
      <c r="I100" s="325" t="s">
        <v>1480</v>
      </c>
      <c r="J100" s="325"/>
      <c r="K100" s="89"/>
    </row>
    <row r="101" spans="1:25" ht="15.75" x14ac:dyDescent="0.25">
      <c r="A101" s="323"/>
      <c r="B101" s="323"/>
      <c r="C101" s="323"/>
      <c r="D101" s="323"/>
      <c r="E101" s="323"/>
      <c r="F101" s="323"/>
      <c r="G101" s="323"/>
      <c r="H101" s="323"/>
      <c r="I101" s="324">
        <v>46053</v>
      </c>
      <c r="J101" s="324"/>
    </row>
    <row r="102" spans="1:25" ht="14.25" x14ac:dyDescent="0.2">
      <c r="A102" s="241" t="s">
        <v>299</v>
      </c>
      <c r="B102" s="242">
        <v>79</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26" t="s">
        <v>308</v>
      </c>
      <c r="B105" s="327"/>
      <c r="C105" s="327"/>
      <c r="D105" s="327"/>
      <c r="E105" s="327"/>
      <c r="F105" s="327"/>
      <c r="G105" s="327"/>
      <c r="H105" s="327"/>
      <c r="I105" s="327"/>
      <c r="J105" s="328"/>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75" x14ac:dyDescent="0.2">
      <c r="A107" s="14" t="s">
        <v>2565</v>
      </c>
      <c r="B107" s="14" t="s">
        <v>2566</v>
      </c>
      <c r="C107" s="14"/>
      <c r="D107" s="16">
        <v>46053</v>
      </c>
      <c r="E107" s="16"/>
      <c r="F107" s="14" t="s">
        <v>2567</v>
      </c>
      <c r="G107" s="14" t="s">
        <v>2568</v>
      </c>
      <c r="H107" s="14" t="s">
        <v>2569</v>
      </c>
      <c r="I107" s="15">
        <v>8.65</v>
      </c>
      <c r="J107" s="77">
        <v>4</v>
      </c>
      <c r="K107" s="92"/>
    </row>
    <row r="108" spans="1:25" ht="12.75" x14ac:dyDescent="0.2">
      <c r="A108" s="14" t="s">
        <v>2565</v>
      </c>
      <c r="B108" s="14" t="s">
        <v>2570</v>
      </c>
      <c r="C108" s="14" t="s">
        <v>2571</v>
      </c>
      <c r="D108" s="16">
        <v>46057</v>
      </c>
      <c r="E108" s="16"/>
      <c r="F108" s="14" t="s">
        <v>2572</v>
      </c>
      <c r="G108" s="14"/>
      <c r="H108" s="14" t="s">
        <v>2573</v>
      </c>
      <c r="I108" s="15">
        <v>1209.51</v>
      </c>
      <c r="J108" s="77">
        <v>4</v>
      </c>
      <c r="K108" s="92"/>
    </row>
    <row r="109" spans="1:25" ht="12.75" x14ac:dyDescent="0.2">
      <c r="A109" s="14" t="s">
        <v>2565</v>
      </c>
      <c r="B109" s="14" t="s">
        <v>2570</v>
      </c>
      <c r="C109" s="14" t="s">
        <v>2571</v>
      </c>
      <c r="D109" s="16">
        <v>46057</v>
      </c>
      <c r="E109" s="16"/>
      <c r="F109" s="14" t="s">
        <v>2574</v>
      </c>
      <c r="G109" s="14"/>
      <c r="H109" s="14" t="s">
        <v>2575</v>
      </c>
      <c r="I109" s="15">
        <v>1248.72</v>
      </c>
      <c r="J109" s="77">
        <v>2</v>
      </c>
      <c r="K109" s="92"/>
    </row>
    <row r="110" spans="1:25" ht="12.75" x14ac:dyDescent="0.2">
      <c r="A110" s="14" t="s">
        <v>2565</v>
      </c>
      <c r="B110" s="14" t="s">
        <v>2570</v>
      </c>
      <c r="C110" s="14" t="s">
        <v>2571</v>
      </c>
      <c r="D110" s="16">
        <v>46057</v>
      </c>
      <c r="E110" s="16"/>
      <c r="F110" s="14" t="s">
        <v>2572</v>
      </c>
      <c r="G110" s="14"/>
      <c r="H110" s="14" t="s">
        <v>2576</v>
      </c>
      <c r="I110" s="15">
        <v>1110.0899999999999</v>
      </c>
      <c r="J110" s="77">
        <v>4</v>
      </c>
      <c r="K110" s="92"/>
    </row>
    <row r="111" spans="1:25" ht="33.75" x14ac:dyDescent="0.2">
      <c r="A111" s="14" t="s">
        <v>2565</v>
      </c>
      <c r="B111" s="14" t="s">
        <v>2577</v>
      </c>
      <c r="C111" s="14" t="s">
        <v>2578</v>
      </c>
      <c r="D111" s="16">
        <v>46064</v>
      </c>
      <c r="E111" s="16"/>
      <c r="F111" s="14" t="s">
        <v>2579</v>
      </c>
      <c r="G111" s="14" t="s">
        <v>2580</v>
      </c>
      <c r="H111" s="14" t="s">
        <v>2581</v>
      </c>
      <c r="I111" s="15">
        <v>205.41</v>
      </c>
      <c r="J111" s="77">
        <v>4</v>
      </c>
      <c r="K111" s="92"/>
    </row>
    <row r="112" spans="1:25" ht="22.5" x14ac:dyDescent="0.2">
      <c r="A112" s="14" t="s">
        <v>2565</v>
      </c>
      <c r="B112" s="14" t="s">
        <v>2582</v>
      </c>
      <c r="C112" s="14" t="s">
        <v>2583</v>
      </c>
      <c r="D112" s="16">
        <v>46070</v>
      </c>
      <c r="E112" s="16"/>
      <c r="F112" s="14" t="s">
        <v>2584</v>
      </c>
      <c r="G112" s="14" t="s">
        <v>2585</v>
      </c>
      <c r="H112" s="14" t="s">
        <v>2586</v>
      </c>
      <c r="I112" s="15">
        <v>155.6</v>
      </c>
      <c r="J112" s="77">
        <v>4</v>
      </c>
      <c r="K112" s="92"/>
    </row>
    <row r="113" spans="1:11" ht="12.75" x14ac:dyDescent="0.2">
      <c r="A113" s="14" t="s">
        <v>2565</v>
      </c>
      <c r="B113" s="14" t="s">
        <v>2587</v>
      </c>
      <c r="C113" s="14" t="s">
        <v>2588</v>
      </c>
      <c r="D113" s="16">
        <v>46070</v>
      </c>
      <c r="E113" s="16"/>
      <c r="F113" s="14" t="s">
        <v>2589</v>
      </c>
      <c r="G113" s="14" t="s">
        <v>2590</v>
      </c>
      <c r="H113" s="14" t="s">
        <v>2591</v>
      </c>
      <c r="I113" s="15">
        <v>312.86</v>
      </c>
      <c r="J113" s="77">
        <v>4</v>
      </c>
      <c r="K113" s="92"/>
    </row>
    <row r="114" spans="1:11" ht="22.5" x14ac:dyDescent="0.2">
      <c r="A114" s="14" t="s">
        <v>2565</v>
      </c>
      <c r="B114" s="14" t="s">
        <v>2592</v>
      </c>
      <c r="C114" s="14"/>
      <c r="D114" s="16">
        <v>46072</v>
      </c>
      <c r="E114" s="16"/>
      <c r="F114" s="14" t="s">
        <v>2593</v>
      </c>
      <c r="G114" s="14"/>
      <c r="H114" s="14" t="s">
        <v>2594</v>
      </c>
      <c r="I114" s="15">
        <v>240</v>
      </c>
      <c r="J114" s="77">
        <v>5</v>
      </c>
      <c r="K114" s="92"/>
    </row>
    <row r="115" spans="1:11" ht="22.5" x14ac:dyDescent="0.2">
      <c r="A115" s="14" t="s">
        <v>2565</v>
      </c>
      <c r="B115" s="14" t="s">
        <v>2595</v>
      </c>
      <c r="C115" s="14"/>
      <c r="D115" s="16">
        <v>46072</v>
      </c>
      <c r="E115" s="16"/>
      <c r="F115" s="14" t="s">
        <v>2596</v>
      </c>
      <c r="G115" s="14"/>
      <c r="H115" s="14" t="s">
        <v>2597</v>
      </c>
      <c r="I115" s="15">
        <v>249.08</v>
      </c>
      <c r="J115" s="77">
        <v>5</v>
      </c>
      <c r="K115" s="92"/>
    </row>
    <row r="116" spans="1:11" ht="22.5" x14ac:dyDescent="0.2">
      <c r="A116" s="14" t="s">
        <v>2565</v>
      </c>
      <c r="B116" s="14" t="s">
        <v>2570</v>
      </c>
      <c r="C116" s="14" t="s">
        <v>2598</v>
      </c>
      <c r="D116" s="16">
        <v>46078</v>
      </c>
      <c r="E116" s="16"/>
      <c r="F116" s="14" t="s">
        <v>2599</v>
      </c>
      <c r="G116" s="14"/>
      <c r="H116" s="14" t="s">
        <v>2600</v>
      </c>
      <c r="I116" s="15">
        <v>500</v>
      </c>
      <c r="J116" s="77">
        <v>1</v>
      </c>
      <c r="K116" s="92"/>
    </row>
    <row r="117" spans="1:11" ht="22.5" x14ac:dyDescent="0.2">
      <c r="A117" s="14" t="s">
        <v>2565</v>
      </c>
      <c r="B117" s="14" t="s">
        <v>2570</v>
      </c>
      <c r="C117" s="14" t="s">
        <v>2601</v>
      </c>
      <c r="D117" s="16">
        <v>46078</v>
      </c>
      <c r="E117" s="16"/>
      <c r="F117" s="14" t="s">
        <v>2602</v>
      </c>
      <c r="G117" s="14" t="s">
        <v>2603</v>
      </c>
      <c r="H117" s="14" t="s">
        <v>2604</v>
      </c>
      <c r="I117" s="15">
        <v>109</v>
      </c>
      <c r="J117" s="77">
        <v>1</v>
      </c>
      <c r="K117" s="92"/>
    </row>
    <row r="118" spans="1:11" ht="22.5" x14ac:dyDescent="0.2">
      <c r="A118" s="14" t="s">
        <v>2565</v>
      </c>
      <c r="B118" s="14" t="s">
        <v>2570</v>
      </c>
      <c r="C118" s="14" t="s">
        <v>2605</v>
      </c>
      <c r="D118" s="16">
        <v>46078</v>
      </c>
      <c r="E118" s="16"/>
      <c r="F118" s="14" t="s">
        <v>2606</v>
      </c>
      <c r="G118" s="14" t="s">
        <v>2603</v>
      </c>
      <c r="H118" s="14" t="s">
        <v>2604</v>
      </c>
      <c r="I118" s="15">
        <v>109</v>
      </c>
      <c r="J118" s="77">
        <v>1</v>
      </c>
      <c r="K118" s="92"/>
    </row>
    <row r="119" spans="1:11" ht="22.5" x14ac:dyDescent="0.2">
      <c r="A119" s="14" t="s">
        <v>2565</v>
      </c>
      <c r="B119" s="14" t="s">
        <v>2570</v>
      </c>
      <c r="C119" s="14" t="s">
        <v>495</v>
      </c>
      <c r="D119" s="16">
        <v>46078</v>
      </c>
      <c r="E119" s="16"/>
      <c r="F119" s="14" t="s">
        <v>2607</v>
      </c>
      <c r="G119" s="14" t="s">
        <v>2603</v>
      </c>
      <c r="H119" s="14" t="s">
        <v>2604</v>
      </c>
      <c r="I119" s="15">
        <v>240.9</v>
      </c>
      <c r="J119" s="77">
        <v>2</v>
      </c>
      <c r="K119" s="92"/>
    </row>
    <row r="120" spans="1:11" ht="12.75" x14ac:dyDescent="0.2">
      <c r="A120" s="14" t="s">
        <v>2565</v>
      </c>
      <c r="B120" s="14" t="s">
        <v>2570</v>
      </c>
      <c r="C120" s="14" t="s">
        <v>495</v>
      </c>
      <c r="D120" s="16">
        <v>46078</v>
      </c>
      <c r="E120" s="16"/>
      <c r="F120" s="14" t="s">
        <v>2608</v>
      </c>
      <c r="G120" s="14" t="s">
        <v>2609</v>
      </c>
      <c r="H120" s="14" t="s">
        <v>2610</v>
      </c>
      <c r="I120" s="15">
        <v>418.92</v>
      </c>
      <c r="J120" s="77">
        <v>4</v>
      </c>
      <c r="K120" s="92"/>
    </row>
    <row r="121" spans="1:11" ht="12.75" x14ac:dyDescent="0.2">
      <c r="A121" s="14" t="s">
        <v>2565</v>
      </c>
      <c r="B121" s="14" t="s">
        <v>2570</v>
      </c>
      <c r="C121" s="14" t="s">
        <v>495</v>
      </c>
      <c r="D121" s="16">
        <v>46078</v>
      </c>
      <c r="E121" s="16"/>
      <c r="F121" s="14" t="s">
        <v>2608</v>
      </c>
      <c r="G121" s="14" t="s">
        <v>2611</v>
      </c>
      <c r="H121" s="14" t="s">
        <v>2612</v>
      </c>
      <c r="I121" s="15">
        <v>1047.3399999999999</v>
      </c>
      <c r="J121" s="77">
        <v>4</v>
      </c>
      <c r="K121" s="92"/>
    </row>
    <row r="122" spans="1:11" ht="22.5" x14ac:dyDescent="0.2">
      <c r="A122" s="14" t="s">
        <v>2565</v>
      </c>
      <c r="B122" s="14" t="s">
        <v>2570</v>
      </c>
      <c r="C122" s="14" t="s">
        <v>495</v>
      </c>
      <c r="D122" s="16">
        <v>46078</v>
      </c>
      <c r="E122" s="16"/>
      <c r="F122" s="14" t="s">
        <v>2607</v>
      </c>
      <c r="G122" s="14" t="s">
        <v>2611</v>
      </c>
      <c r="H122" s="14" t="s">
        <v>2612</v>
      </c>
      <c r="I122" s="15">
        <v>379.38</v>
      </c>
      <c r="J122" s="77">
        <v>2</v>
      </c>
      <c r="K122" s="92"/>
    </row>
    <row r="123" spans="1:11" ht="22.5" x14ac:dyDescent="0.2">
      <c r="A123" s="14" t="s">
        <v>2565</v>
      </c>
      <c r="B123" s="14" t="s">
        <v>2570</v>
      </c>
      <c r="C123" s="14" t="s">
        <v>2613</v>
      </c>
      <c r="D123" s="16">
        <v>46080</v>
      </c>
      <c r="E123" s="16"/>
      <c r="F123" s="14" t="s">
        <v>2614</v>
      </c>
      <c r="G123" s="14" t="s">
        <v>2136</v>
      </c>
      <c r="H123" s="14" t="s">
        <v>2615</v>
      </c>
      <c r="I123" s="15">
        <v>750</v>
      </c>
      <c r="J123" s="77">
        <v>3</v>
      </c>
      <c r="K123" s="92"/>
    </row>
    <row r="124" spans="1:11" ht="12.75" x14ac:dyDescent="0.2">
      <c r="A124" s="14" t="s">
        <v>2565</v>
      </c>
      <c r="B124" s="14" t="s">
        <v>2570</v>
      </c>
      <c r="C124" s="14"/>
      <c r="D124" s="16">
        <v>46081</v>
      </c>
      <c r="E124" s="16"/>
      <c r="F124" s="14" t="s">
        <v>2567</v>
      </c>
      <c r="G124" s="14" t="s">
        <v>2568</v>
      </c>
      <c r="H124" s="14" t="s">
        <v>2569</v>
      </c>
      <c r="I124" s="15">
        <v>8.65</v>
      </c>
      <c r="J124" s="77">
        <v>4</v>
      </c>
      <c r="K124" s="92"/>
    </row>
    <row r="125" spans="1:11" ht="22.5" x14ac:dyDescent="0.2">
      <c r="A125" s="14" t="s">
        <v>2565</v>
      </c>
      <c r="B125" s="14" t="s">
        <v>2616</v>
      </c>
      <c r="C125" s="14" t="s">
        <v>2617</v>
      </c>
      <c r="D125" s="16">
        <v>46087</v>
      </c>
      <c r="E125" s="16"/>
      <c r="F125" s="14" t="s">
        <v>2618</v>
      </c>
      <c r="G125" s="14" t="s">
        <v>2619</v>
      </c>
      <c r="H125" s="14" t="s">
        <v>2620</v>
      </c>
      <c r="I125" s="15">
        <v>1742.1</v>
      </c>
      <c r="J125" s="77">
        <v>5</v>
      </c>
      <c r="K125" s="92"/>
    </row>
    <row r="126" spans="1:11" ht="22.5" x14ac:dyDescent="0.2">
      <c r="A126" s="14" t="s">
        <v>2565</v>
      </c>
      <c r="B126" s="14" t="s">
        <v>2616</v>
      </c>
      <c r="C126" s="14" t="s">
        <v>2598</v>
      </c>
      <c r="D126" s="16">
        <v>46087</v>
      </c>
      <c r="E126" s="16">
        <v>46048</v>
      </c>
      <c r="F126" s="14" t="s">
        <v>2621</v>
      </c>
      <c r="G126" s="14"/>
      <c r="H126" s="14" t="s">
        <v>2622</v>
      </c>
      <c r="I126" s="15">
        <v>500</v>
      </c>
      <c r="J126" s="77">
        <v>1</v>
      </c>
      <c r="K126" s="92"/>
    </row>
    <row r="127" spans="1:11" ht="12.75" x14ac:dyDescent="0.2">
      <c r="A127" s="14" t="s">
        <v>2565</v>
      </c>
      <c r="B127" s="14" t="s">
        <v>2616</v>
      </c>
      <c r="C127" s="14" t="s">
        <v>2623</v>
      </c>
      <c r="D127" s="16">
        <v>46090</v>
      </c>
      <c r="E127" s="16"/>
      <c r="F127" s="14" t="s">
        <v>2624</v>
      </c>
      <c r="G127" s="14"/>
      <c r="H127" s="14" t="s">
        <v>2573</v>
      </c>
      <c r="I127" s="15">
        <v>1270.18</v>
      </c>
      <c r="J127" s="77">
        <v>4</v>
      </c>
      <c r="K127" s="92"/>
    </row>
    <row r="128" spans="1:11" ht="12.75" x14ac:dyDescent="0.2">
      <c r="A128" s="14" t="s">
        <v>2565</v>
      </c>
      <c r="B128" s="14" t="s">
        <v>2616</v>
      </c>
      <c r="C128" s="14" t="s">
        <v>2623</v>
      </c>
      <c r="D128" s="16">
        <v>46090</v>
      </c>
      <c r="E128" s="16"/>
      <c r="F128" s="14" t="s">
        <v>2625</v>
      </c>
      <c r="G128" s="14"/>
      <c r="H128" s="14" t="s">
        <v>2575</v>
      </c>
      <c r="I128" s="15">
        <v>1282.45</v>
      </c>
      <c r="J128" s="77">
        <v>2</v>
      </c>
      <c r="K128" s="92"/>
    </row>
    <row r="129" spans="1:11" ht="12.75" x14ac:dyDescent="0.2">
      <c r="A129" s="14" t="s">
        <v>2565</v>
      </c>
      <c r="B129" s="14" t="s">
        <v>2616</v>
      </c>
      <c r="C129" s="14" t="s">
        <v>2623</v>
      </c>
      <c r="D129" s="16">
        <v>46090</v>
      </c>
      <c r="E129" s="16"/>
      <c r="F129" s="14" t="s">
        <v>2626</v>
      </c>
      <c r="G129" s="14"/>
      <c r="H129" s="14" t="s">
        <v>2576</v>
      </c>
      <c r="I129" s="15">
        <v>1170.18</v>
      </c>
      <c r="J129" s="77">
        <v>4</v>
      </c>
      <c r="K129" s="92"/>
    </row>
    <row r="130" spans="1:11" ht="22.5" x14ac:dyDescent="0.2">
      <c r="A130" s="14" t="s">
        <v>2565</v>
      </c>
      <c r="B130" s="14" t="s">
        <v>2627</v>
      </c>
      <c r="C130" s="14" t="s">
        <v>2628</v>
      </c>
      <c r="D130" s="16">
        <v>46091</v>
      </c>
      <c r="E130" s="16"/>
      <c r="F130" s="14" t="s">
        <v>2629</v>
      </c>
      <c r="G130" s="14" t="s">
        <v>2630</v>
      </c>
      <c r="H130" s="14" t="s">
        <v>2631</v>
      </c>
      <c r="I130" s="15">
        <v>634.67999999999995</v>
      </c>
      <c r="J130" s="77">
        <v>3</v>
      </c>
      <c r="K130" s="92"/>
    </row>
    <row r="131" spans="1:11" ht="22.5" x14ac:dyDescent="0.2">
      <c r="A131" s="14" t="s">
        <v>2565</v>
      </c>
      <c r="B131" s="14" t="s">
        <v>2632</v>
      </c>
      <c r="C131" s="14" t="s">
        <v>2633</v>
      </c>
      <c r="D131" s="16">
        <v>46097</v>
      </c>
      <c r="E131" s="16"/>
      <c r="F131" s="14" t="s">
        <v>2634</v>
      </c>
      <c r="G131" s="14" t="s">
        <v>2635</v>
      </c>
      <c r="H131" s="14" t="s">
        <v>2636</v>
      </c>
      <c r="I131" s="15">
        <v>316.11</v>
      </c>
      <c r="J131" s="77">
        <v>3</v>
      </c>
      <c r="K131" s="92"/>
    </row>
    <row r="132" spans="1:11" ht="22.5" x14ac:dyDescent="0.2">
      <c r="A132" s="14" t="s">
        <v>2565</v>
      </c>
      <c r="B132" s="14" t="s">
        <v>2637</v>
      </c>
      <c r="C132" s="14" t="s">
        <v>2638</v>
      </c>
      <c r="D132" s="16">
        <v>46097</v>
      </c>
      <c r="E132" s="16"/>
      <c r="F132" s="14" t="s">
        <v>2639</v>
      </c>
      <c r="G132" s="14" t="s">
        <v>2640</v>
      </c>
      <c r="H132" s="14" t="s">
        <v>2641</v>
      </c>
      <c r="I132" s="15">
        <v>116.25</v>
      </c>
      <c r="J132" s="77">
        <v>3</v>
      </c>
      <c r="K132" s="92"/>
    </row>
    <row r="133" spans="1:11" ht="22.5" x14ac:dyDescent="0.2">
      <c r="A133" s="14" t="s">
        <v>2565</v>
      </c>
      <c r="B133" s="14" t="s">
        <v>2616</v>
      </c>
      <c r="C133" s="14" t="s">
        <v>2642</v>
      </c>
      <c r="D133" s="16">
        <v>46097</v>
      </c>
      <c r="E133" s="16"/>
      <c r="F133" s="14" t="s">
        <v>2643</v>
      </c>
      <c r="G133" s="14" t="s">
        <v>2644</v>
      </c>
      <c r="H133" s="14" t="s">
        <v>2645</v>
      </c>
      <c r="I133" s="15">
        <v>5744</v>
      </c>
      <c r="J133" s="77">
        <v>5</v>
      </c>
      <c r="K133" s="92"/>
    </row>
    <row r="134" spans="1:11" ht="22.5" x14ac:dyDescent="0.2">
      <c r="A134" s="14" t="s">
        <v>2565</v>
      </c>
      <c r="B134" s="14" t="s">
        <v>2616</v>
      </c>
      <c r="C134" s="14" t="s">
        <v>2646</v>
      </c>
      <c r="D134" s="16">
        <v>46100</v>
      </c>
      <c r="E134" s="16">
        <v>46098</v>
      </c>
      <c r="F134" s="14" t="s">
        <v>2647</v>
      </c>
      <c r="G134" s="14"/>
      <c r="H134" s="14" t="s">
        <v>2648</v>
      </c>
      <c r="I134" s="15">
        <v>340</v>
      </c>
      <c r="J134" s="77">
        <v>3</v>
      </c>
      <c r="K134" s="92"/>
    </row>
    <row r="135" spans="1:11" ht="22.5" x14ac:dyDescent="0.2">
      <c r="A135" s="14" t="s">
        <v>2565</v>
      </c>
      <c r="B135" s="14" t="s">
        <v>2616</v>
      </c>
      <c r="C135" s="14" t="s">
        <v>2649</v>
      </c>
      <c r="D135" s="16">
        <v>46100</v>
      </c>
      <c r="E135" s="16"/>
      <c r="F135" s="14" t="s">
        <v>2650</v>
      </c>
      <c r="G135" s="14" t="s">
        <v>2603</v>
      </c>
      <c r="H135" s="14" t="s">
        <v>2604</v>
      </c>
      <c r="I135" s="15">
        <v>109</v>
      </c>
      <c r="J135" s="77">
        <v>3</v>
      </c>
      <c r="K135" s="92"/>
    </row>
    <row r="136" spans="1:11" ht="22.5" x14ac:dyDescent="0.2">
      <c r="A136" s="14" t="s">
        <v>2565</v>
      </c>
      <c r="B136" s="14" t="s">
        <v>2651</v>
      </c>
      <c r="C136" s="14" t="s">
        <v>2652</v>
      </c>
      <c r="D136" s="16">
        <v>46101</v>
      </c>
      <c r="E136" s="16"/>
      <c r="F136" s="14" t="s">
        <v>2653</v>
      </c>
      <c r="G136" s="14" t="s">
        <v>2654</v>
      </c>
      <c r="H136" s="14" t="s">
        <v>2655</v>
      </c>
      <c r="I136" s="15">
        <v>538.59</v>
      </c>
      <c r="J136" s="77">
        <v>5</v>
      </c>
      <c r="K136" s="92"/>
    </row>
    <row r="137" spans="1:11" ht="22.5" x14ac:dyDescent="0.2">
      <c r="A137" s="14" t="s">
        <v>2565</v>
      </c>
      <c r="B137" s="14" t="s">
        <v>2616</v>
      </c>
      <c r="C137" s="14" t="s">
        <v>2598</v>
      </c>
      <c r="D137" s="16">
        <v>46105</v>
      </c>
      <c r="E137" s="16">
        <v>46095</v>
      </c>
      <c r="F137" s="14" t="s">
        <v>2656</v>
      </c>
      <c r="G137" s="14"/>
      <c r="H137" s="14" t="s">
        <v>2600</v>
      </c>
      <c r="I137" s="15">
        <v>300</v>
      </c>
      <c r="J137" s="77">
        <v>1</v>
      </c>
      <c r="K137" s="92"/>
    </row>
    <row r="138" spans="1:11" ht="22.5" x14ac:dyDescent="0.2">
      <c r="A138" s="14" t="s">
        <v>2565</v>
      </c>
      <c r="B138" s="14" t="s">
        <v>2657</v>
      </c>
      <c r="C138" s="14" t="s">
        <v>2658</v>
      </c>
      <c r="D138" s="16">
        <v>46107</v>
      </c>
      <c r="E138" s="16"/>
      <c r="F138" s="14" t="s">
        <v>2659</v>
      </c>
      <c r="G138" s="14" t="s">
        <v>2660</v>
      </c>
      <c r="H138" s="14" t="s">
        <v>2661</v>
      </c>
      <c r="I138" s="15">
        <v>59.78</v>
      </c>
      <c r="J138" s="77">
        <v>5</v>
      </c>
      <c r="K138" s="92"/>
    </row>
    <row r="139" spans="1:11" ht="22.5" x14ac:dyDescent="0.2">
      <c r="A139" s="14" t="s">
        <v>2565</v>
      </c>
      <c r="B139" s="14" t="s">
        <v>2616</v>
      </c>
      <c r="C139" s="14" t="s">
        <v>2662</v>
      </c>
      <c r="D139" s="16">
        <v>46112</v>
      </c>
      <c r="E139" s="16"/>
      <c r="F139" s="14" t="s">
        <v>2663</v>
      </c>
      <c r="G139" s="14" t="s">
        <v>2603</v>
      </c>
      <c r="H139" s="14" t="s">
        <v>2604</v>
      </c>
      <c r="I139" s="15">
        <v>109</v>
      </c>
      <c r="J139" s="77">
        <v>3</v>
      </c>
      <c r="K139" s="92"/>
    </row>
    <row r="140" spans="1:11" ht="22.5" x14ac:dyDescent="0.2">
      <c r="A140" s="14" t="s">
        <v>2565</v>
      </c>
      <c r="B140" s="14" t="s">
        <v>2616</v>
      </c>
      <c r="C140" s="14" t="s">
        <v>2664</v>
      </c>
      <c r="D140" s="16">
        <v>46112</v>
      </c>
      <c r="E140" s="16"/>
      <c r="F140" s="14" t="s">
        <v>2665</v>
      </c>
      <c r="G140" s="14" t="s">
        <v>2603</v>
      </c>
      <c r="H140" s="14" t="s">
        <v>2604</v>
      </c>
      <c r="I140" s="15">
        <v>109</v>
      </c>
      <c r="J140" s="77">
        <v>3</v>
      </c>
      <c r="K140" s="92"/>
    </row>
    <row r="141" spans="1:11" ht="22.5" x14ac:dyDescent="0.2">
      <c r="A141" s="14" t="s">
        <v>2565</v>
      </c>
      <c r="B141" s="14" t="s">
        <v>2616</v>
      </c>
      <c r="C141" s="14" t="s">
        <v>2666</v>
      </c>
      <c r="D141" s="16">
        <v>46112</v>
      </c>
      <c r="E141" s="16"/>
      <c r="F141" s="14" t="s">
        <v>2667</v>
      </c>
      <c r="G141" s="14" t="s">
        <v>2603</v>
      </c>
      <c r="H141" s="14" t="s">
        <v>2604</v>
      </c>
      <c r="I141" s="15">
        <v>109</v>
      </c>
      <c r="J141" s="77">
        <v>3</v>
      </c>
      <c r="K141" s="92"/>
    </row>
    <row r="142" spans="1:11" ht="22.5" x14ac:dyDescent="0.2">
      <c r="A142" s="14" t="s">
        <v>2565</v>
      </c>
      <c r="B142" s="14" t="s">
        <v>2668</v>
      </c>
      <c r="C142" s="14" t="s">
        <v>2669</v>
      </c>
      <c r="D142" s="16">
        <v>46112</v>
      </c>
      <c r="E142" s="16"/>
      <c r="F142" s="14" t="s">
        <v>2670</v>
      </c>
      <c r="G142" s="14" t="s">
        <v>2671</v>
      </c>
      <c r="H142" s="14" t="s">
        <v>2672</v>
      </c>
      <c r="I142" s="15">
        <v>375.9</v>
      </c>
      <c r="J142" s="77">
        <v>3</v>
      </c>
      <c r="K142" s="92"/>
    </row>
    <row r="143" spans="1:11" ht="22.5" x14ac:dyDescent="0.2">
      <c r="A143" s="14" t="s">
        <v>2565</v>
      </c>
      <c r="B143" s="14" t="s">
        <v>2673</v>
      </c>
      <c r="C143" s="14" t="s">
        <v>2674</v>
      </c>
      <c r="D143" s="16">
        <v>46112</v>
      </c>
      <c r="E143" s="16"/>
      <c r="F143" s="14" t="s">
        <v>2675</v>
      </c>
      <c r="G143" s="14" t="s">
        <v>2676</v>
      </c>
      <c r="H143" s="14" t="s">
        <v>2677</v>
      </c>
      <c r="I143" s="15">
        <v>105.9</v>
      </c>
      <c r="J143" s="77">
        <v>5</v>
      </c>
      <c r="K143" s="92"/>
    </row>
    <row r="144" spans="1:11" ht="12.75" x14ac:dyDescent="0.2">
      <c r="A144" s="14" t="s">
        <v>2565</v>
      </c>
      <c r="B144" s="14" t="s">
        <v>2616</v>
      </c>
      <c r="C144" s="14"/>
      <c r="D144" s="16">
        <v>46112</v>
      </c>
      <c r="E144" s="16"/>
      <c r="F144" s="14" t="s">
        <v>2567</v>
      </c>
      <c r="G144" s="14" t="s">
        <v>2568</v>
      </c>
      <c r="H144" s="14" t="s">
        <v>2569</v>
      </c>
      <c r="I144" s="15">
        <v>9.4</v>
      </c>
      <c r="J144" s="77">
        <v>4</v>
      </c>
      <c r="K144" s="92"/>
    </row>
    <row r="145" spans="1:11" ht="12.75" x14ac:dyDescent="0.2">
      <c r="A145" s="14" t="s">
        <v>2565</v>
      </c>
      <c r="B145" s="14" t="s">
        <v>2678</v>
      </c>
      <c r="C145" s="14"/>
      <c r="D145" s="16">
        <v>46116</v>
      </c>
      <c r="E145" s="16"/>
      <c r="F145" s="14" t="s">
        <v>2679</v>
      </c>
      <c r="G145" s="14" t="s">
        <v>2680</v>
      </c>
      <c r="H145" s="14" t="s">
        <v>2681</v>
      </c>
      <c r="I145" s="15">
        <v>24</v>
      </c>
      <c r="J145" s="77">
        <v>1</v>
      </c>
      <c r="K145" s="92"/>
    </row>
    <row r="146" spans="1:11" ht="45" x14ac:dyDescent="0.2">
      <c r="A146" s="14" t="s">
        <v>2565</v>
      </c>
      <c r="B146" s="14" t="s">
        <v>2682</v>
      </c>
      <c r="C146" s="14" t="s">
        <v>2683</v>
      </c>
      <c r="D146" s="16">
        <v>46119</v>
      </c>
      <c r="E146" s="16"/>
      <c r="F146" s="14" t="s">
        <v>2684</v>
      </c>
      <c r="G146" s="14" t="s">
        <v>2654</v>
      </c>
      <c r="H146" s="14" t="s">
        <v>2655</v>
      </c>
      <c r="I146" s="15">
        <v>132</v>
      </c>
      <c r="J146" s="77">
        <v>5</v>
      </c>
      <c r="K146" s="92"/>
    </row>
    <row r="147" spans="1:11" ht="22.5" x14ac:dyDescent="0.2">
      <c r="A147" s="14" t="s">
        <v>2565</v>
      </c>
      <c r="B147" s="14" t="s">
        <v>2678</v>
      </c>
      <c r="C147" s="14"/>
      <c r="D147" s="16">
        <v>46120</v>
      </c>
      <c r="E147" s="16"/>
      <c r="F147" s="14" t="s">
        <v>2685</v>
      </c>
      <c r="G147" s="14"/>
      <c r="H147" s="14" t="s">
        <v>2686</v>
      </c>
      <c r="I147" s="15">
        <v>750</v>
      </c>
      <c r="J147" s="77">
        <v>2</v>
      </c>
      <c r="K147" s="92"/>
    </row>
    <row r="148" spans="1:11" ht="22.5" x14ac:dyDescent="0.2">
      <c r="A148" s="14" t="s">
        <v>2565</v>
      </c>
      <c r="B148" s="14" t="s">
        <v>2687</v>
      </c>
      <c r="C148" s="14" t="s">
        <v>2688</v>
      </c>
      <c r="D148" s="16">
        <v>46120</v>
      </c>
      <c r="E148" s="16"/>
      <c r="F148" s="14" t="s">
        <v>2689</v>
      </c>
      <c r="G148" s="14" t="s">
        <v>2690</v>
      </c>
      <c r="H148" s="14" t="s">
        <v>2691</v>
      </c>
      <c r="I148" s="15">
        <v>5000</v>
      </c>
      <c r="J148" s="77">
        <v>5</v>
      </c>
      <c r="K148" s="92"/>
    </row>
    <row r="149" spans="1:11" ht="22.5" x14ac:dyDescent="0.2">
      <c r="A149" s="14" t="s">
        <v>2565</v>
      </c>
      <c r="B149" s="14" t="s">
        <v>2692</v>
      </c>
      <c r="C149" s="14" t="s">
        <v>2693</v>
      </c>
      <c r="D149" s="16">
        <v>46121</v>
      </c>
      <c r="E149" s="16"/>
      <c r="F149" s="14" t="s">
        <v>2694</v>
      </c>
      <c r="G149" s="14" t="s">
        <v>2671</v>
      </c>
      <c r="H149" s="14" t="s">
        <v>2672</v>
      </c>
      <c r="I149" s="15">
        <v>1240.8</v>
      </c>
      <c r="J149" s="77">
        <v>3</v>
      </c>
      <c r="K149" s="92"/>
    </row>
    <row r="150" spans="1:11" ht="33.75" x14ac:dyDescent="0.2">
      <c r="A150" s="14" t="s">
        <v>2565</v>
      </c>
      <c r="B150" s="14" t="s">
        <v>2687</v>
      </c>
      <c r="C150" s="14" t="s">
        <v>2688</v>
      </c>
      <c r="D150" s="16">
        <v>46121</v>
      </c>
      <c r="E150" s="16"/>
      <c r="F150" s="14" t="s">
        <v>2695</v>
      </c>
      <c r="G150" s="14" t="s">
        <v>2690</v>
      </c>
      <c r="H150" s="14" t="s">
        <v>2691</v>
      </c>
      <c r="I150" s="15">
        <v>1560.82</v>
      </c>
      <c r="J150" s="77">
        <v>5</v>
      </c>
      <c r="K150" s="92"/>
    </row>
    <row r="151" spans="1:11" ht="22.5" x14ac:dyDescent="0.2">
      <c r="A151" s="14" t="s">
        <v>2565</v>
      </c>
      <c r="B151" s="14" t="s">
        <v>2696</v>
      </c>
      <c r="C151" s="14" t="s">
        <v>2697</v>
      </c>
      <c r="D151" s="16">
        <v>46121</v>
      </c>
      <c r="E151" s="16"/>
      <c r="F151" s="14" t="s">
        <v>2698</v>
      </c>
      <c r="G151" s="14" t="s">
        <v>2699</v>
      </c>
      <c r="H151" s="14" t="s">
        <v>2700</v>
      </c>
      <c r="I151" s="15">
        <v>132</v>
      </c>
      <c r="J151" s="77">
        <v>5</v>
      </c>
      <c r="K151" s="92"/>
    </row>
    <row r="152" spans="1:11" ht="22.5" x14ac:dyDescent="0.2">
      <c r="A152" s="14" t="s">
        <v>2565</v>
      </c>
      <c r="B152" s="14" t="s">
        <v>2701</v>
      </c>
      <c r="C152" s="14" t="s">
        <v>2702</v>
      </c>
      <c r="D152" s="16">
        <v>46121</v>
      </c>
      <c r="E152" s="16"/>
      <c r="F152" s="14" t="s">
        <v>2703</v>
      </c>
      <c r="G152" s="14" t="s">
        <v>2704</v>
      </c>
      <c r="H152" s="14" t="s">
        <v>2705</v>
      </c>
      <c r="I152" s="15">
        <v>688.8</v>
      </c>
      <c r="J152" s="77">
        <v>5</v>
      </c>
      <c r="K152" s="92"/>
    </row>
    <row r="153" spans="1:11" ht="22.5" x14ac:dyDescent="0.2">
      <c r="A153" s="14" t="s">
        <v>2565</v>
      </c>
      <c r="B153" s="14" t="s">
        <v>2706</v>
      </c>
      <c r="C153" s="14" t="s">
        <v>2707</v>
      </c>
      <c r="D153" s="16">
        <v>46121</v>
      </c>
      <c r="E153" s="16"/>
      <c r="F153" s="14" t="s">
        <v>2708</v>
      </c>
      <c r="G153" s="14" t="s">
        <v>2709</v>
      </c>
      <c r="H153" s="14" t="s">
        <v>2710</v>
      </c>
      <c r="I153" s="15">
        <v>454.23</v>
      </c>
      <c r="J153" s="77">
        <v>2</v>
      </c>
      <c r="K153" s="92"/>
    </row>
    <row r="154" spans="1:11" ht="12.75" x14ac:dyDescent="0.2">
      <c r="A154" s="14" t="s">
        <v>2565</v>
      </c>
      <c r="B154" s="14" t="s">
        <v>2711</v>
      </c>
      <c r="C154" s="14" t="s">
        <v>2712</v>
      </c>
      <c r="D154" s="16">
        <v>46121</v>
      </c>
      <c r="E154" s="16"/>
      <c r="F154" s="14" t="s">
        <v>2713</v>
      </c>
      <c r="G154" s="14" t="s">
        <v>2714</v>
      </c>
      <c r="H154" s="14" t="s">
        <v>2715</v>
      </c>
      <c r="I154" s="15">
        <v>258.3</v>
      </c>
      <c r="J154" s="77">
        <v>3</v>
      </c>
      <c r="K154" s="92"/>
    </row>
    <row r="155" spans="1:11" ht="12.75" x14ac:dyDescent="0.2">
      <c r="A155" s="14" t="s">
        <v>2565</v>
      </c>
      <c r="B155" s="14" t="s">
        <v>2716</v>
      </c>
      <c r="C155" s="14" t="s">
        <v>2717</v>
      </c>
      <c r="D155" s="16">
        <v>46121</v>
      </c>
      <c r="E155" s="16"/>
      <c r="F155" s="14" t="s">
        <v>2718</v>
      </c>
      <c r="G155" s="14"/>
      <c r="H155" s="14" t="s">
        <v>2719</v>
      </c>
      <c r="I155" s="15">
        <v>500</v>
      </c>
      <c r="J155" s="77">
        <v>5</v>
      </c>
      <c r="K155" s="92"/>
    </row>
    <row r="156" spans="1:11" ht="22.5" x14ac:dyDescent="0.2">
      <c r="A156" s="14" t="s">
        <v>2565</v>
      </c>
      <c r="B156" s="14" t="s">
        <v>2720</v>
      </c>
      <c r="C156" s="14" t="s">
        <v>2721</v>
      </c>
      <c r="D156" s="16">
        <v>46121</v>
      </c>
      <c r="E156" s="16"/>
      <c r="F156" s="14" t="s">
        <v>2722</v>
      </c>
      <c r="G156" s="14" t="s">
        <v>2723</v>
      </c>
      <c r="H156" s="14" t="s">
        <v>2724</v>
      </c>
      <c r="I156" s="15">
        <v>2000</v>
      </c>
      <c r="J156" s="77">
        <v>3</v>
      </c>
      <c r="K156" s="92"/>
    </row>
    <row r="157" spans="1:11" ht="22.5" x14ac:dyDescent="0.2">
      <c r="A157" s="14" t="s">
        <v>2565</v>
      </c>
      <c r="B157" s="14" t="s">
        <v>2725</v>
      </c>
      <c r="C157" s="14" t="s">
        <v>2726</v>
      </c>
      <c r="D157" s="16">
        <v>46122</v>
      </c>
      <c r="E157" s="16"/>
      <c r="F157" s="14" t="s">
        <v>2718</v>
      </c>
      <c r="G157" s="14"/>
      <c r="H157" s="14" t="s">
        <v>2727</v>
      </c>
      <c r="I157" s="15">
        <v>3000</v>
      </c>
      <c r="J157" s="77">
        <v>5</v>
      </c>
      <c r="K157" s="92"/>
    </row>
    <row r="158" spans="1:11" ht="22.5" x14ac:dyDescent="0.2">
      <c r="A158" s="14" t="s">
        <v>2565</v>
      </c>
      <c r="B158" s="14" t="s">
        <v>2728</v>
      </c>
      <c r="C158" s="14" t="s">
        <v>2729</v>
      </c>
      <c r="D158" s="16">
        <v>46122</v>
      </c>
      <c r="E158" s="16"/>
      <c r="F158" s="14" t="s">
        <v>2730</v>
      </c>
      <c r="G158" s="14"/>
      <c r="H158" s="14" t="s">
        <v>2727</v>
      </c>
      <c r="I158" s="15">
        <v>375</v>
      </c>
      <c r="J158" s="77">
        <v>2</v>
      </c>
      <c r="K158" s="92"/>
    </row>
    <row r="159" spans="1:11" ht="22.5" x14ac:dyDescent="0.2">
      <c r="A159" s="14" t="s">
        <v>2565</v>
      </c>
      <c r="B159" s="14" t="s">
        <v>2678</v>
      </c>
      <c r="C159" s="14" t="s">
        <v>2731</v>
      </c>
      <c r="D159" s="16">
        <v>46122</v>
      </c>
      <c r="E159" s="16"/>
      <c r="F159" s="14" t="s">
        <v>2732</v>
      </c>
      <c r="G159" s="14" t="s">
        <v>2603</v>
      </c>
      <c r="H159" s="14" t="s">
        <v>2733</v>
      </c>
      <c r="I159" s="15">
        <v>109</v>
      </c>
      <c r="J159" s="77">
        <v>2</v>
      </c>
      <c r="K159" s="92"/>
    </row>
    <row r="160" spans="1:11" ht="12.75" x14ac:dyDescent="0.2">
      <c r="A160" s="14" t="s">
        <v>2565</v>
      </c>
      <c r="B160" s="14" t="s">
        <v>2734</v>
      </c>
      <c r="C160" s="14" t="s">
        <v>2735</v>
      </c>
      <c r="D160" s="16">
        <v>46122</v>
      </c>
      <c r="E160" s="16"/>
      <c r="F160" s="14" t="s">
        <v>2736</v>
      </c>
      <c r="G160" s="14" t="s">
        <v>2660</v>
      </c>
      <c r="H160" s="14" t="s">
        <v>2661</v>
      </c>
      <c r="I160" s="15">
        <v>73.06</v>
      </c>
      <c r="J160" s="77">
        <v>3</v>
      </c>
      <c r="K160" s="92"/>
    </row>
    <row r="161" spans="1:11" ht="22.5" x14ac:dyDescent="0.2">
      <c r="A161" s="14" t="s">
        <v>2565</v>
      </c>
      <c r="B161" s="14" t="s">
        <v>2678</v>
      </c>
      <c r="C161" s="14"/>
      <c r="D161" s="16">
        <v>46122</v>
      </c>
      <c r="E161" s="16">
        <v>46109</v>
      </c>
      <c r="F161" s="14" t="s">
        <v>2737</v>
      </c>
      <c r="G161" s="14"/>
      <c r="H161" s="14" t="s">
        <v>2738</v>
      </c>
      <c r="I161" s="15">
        <v>300</v>
      </c>
      <c r="J161" s="77">
        <v>1</v>
      </c>
      <c r="K161" s="92"/>
    </row>
    <row r="162" spans="1:11" ht="45" x14ac:dyDescent="0.2">
      <c r="A162" s="14" t="s">
        <v>2565</v>
      </c>
      <c r="B162" s="14" t="s">
        <v>2739</v>
      </c>
      <c r="C162" s="14" t="s">
        <v>2740</v>
      </c>
      <c r="D162" s="16">
        <v>46125</v>
      </c>
      <c r="E162" s="16"/>
      <c r="F162" s="14" t="s">
        <v>2741</v>
      </c>
      <c r="G162" s="14"/>
      <c r="H162" s="14" t="s">
        <v>2727</v>
      </c>
      <c r="I162" s="15">
        <v>1650</v>
      </c>
      <c r="J162" s="77">
        <v>2</v>
      </c>
      <c r="K162" s="92"/>
    </row>
    <row r="163" spans="1:11" ht="45" x14ac:dyDescent="0.2">
      <c r="A163" s="14" t="s">
        <v>2565</v>
      </c>
      <c r="B163" s="14" t="s">
        <v>2742</v>
      </c>
      <c r="C163" s="14" t="s">
        <v>2743</v>
      </c>
      <c r="D163" s="16">
        <v>46126</v>
      </c>
      <c r="E163" s="16"/>
      <c r="F163" s="14" t="s">
        <v>2744</v>
      </c>
      <c r="G163" s="14" t="s">
        <v>2745</v>
      </c>
      <c r="H163" s="14" t="s">
        <v>2746</v>
      </c>
      <c r="I163" s="15">
        <v>2000</v>
      </c>
      <c r="J163" s="77">
        <v>5</v>
      </c>
      <c r="K163" s="92"/>
    </row>
    <row r="164" spans="1:11" ht="22.5" x14ac:dyDescent="0.2">
      <c r="A164" s="14" t="s">
        <v>2565</v>
      </c>
      <c r="B164" s="14" t="s">
        <v>2747</v>
      </c>
      <c r="C164" s="14" t="s">
        <v>2613</v>
      </c>
      <c r="D164" s="16">
        <v>46128</v>
      </c>
      <c r="E164" s="16"/>
      <c r="F164" s="14" t="s">
        <v>2748</v>
      </c>
      <c r="G164" s="14"/>
      <c r="H164" s="14" t="s">
        <v>2749</v>
      </c>
      <c r="I164" s="15">
        <v>2000</v>
      </c>
      <c r="J164" s="77">
        <v>3</v>
      </c>
      <c r="K164" s="92"/>
    </row>
    <row r="165" spans="1:11" ht="22.5" x14ac:dyDescent="0.2">
      <c r="A165" s="14" t="s">
        <v>2565</v>
      </c>
      <c r="B165" s="14" t="s">
        <v>2750</v>
      </c>
      <c r="C165" s="14" t="s">
        <v>2751</v>
      </c>
      <c r="D165" s="16">
        <v>46128</v>
      </c>
      <c r="E165" s="16"/>
      <c r="F165" s="14" t="s">
        <v>2752</v>
      </c>
      <c r="G165" s="14" t="s">
        <v>2753</v>
      </c>
      <c r="H165" s="14" t="s">
        <v>2754</v>
      </c>
      <c r="I165" s="15">
        <v>120</v>
      </c>
      <c r="J165" s="77">
        <v>5</v>
      </c>
      <c r="K165" s="92"/>
    </row>
    <row r="166" spans="1:11" ht="22.5" x14ac:dyDescent="0.2">
      <c r="A166" s="14" t="s">
        <v>2565</v>
      </c>
      <c r="B166" s="14" t="s">
        <v>2678</v>
      </c>
      <c r="C166" s="14"/>
      <c r="D166" s="16">
        <v>46128</v>
      </c>
      <c r="E166" s="16"/>
      <c r="F166" s="14" t="s">
        <v>2755</v>
      </c>
      <c r="G166" s="14"/>
      <c r="H166" s="14" t="s">
        <v>2756</v>
      </c>
      <c r="I166" s="15">
        <v>130</v>
      </c>
      <c r="J166" s="77">
        <v>1</v>
      </c>
      <c r="K166" s="92"/>
    </row>
    <row r="167" spans="1:11" ht="22.5" x14ac:dyDescent="0.2">
      <c r="A167" s="14" t="s">
        <v>2565</v>
      </c>
      <c r="B167" s="14" t="s">
        <v>2678</v>
      </c>
      <c r="C167" s="14"/>
      <c r="D167" s="16">
        <v>46129</v>
      </c>
      <c r="E167" s="16"/>
      <c r="F167" s="14" t="s">
        <v>2757</v>
      </c>
      <c r="G167" s="14"/>
      <c r="H167" s="14" t="s">
        <v>2686</v>
      </c>
      <c r="I167" s="15">
        <v>250</v>
      </c>
      <c r="J167" s="77">
        <v>2</v>
      </c>
      <c r="K167" s="92"/>
    </row>
    <row r="168" spans="1:11" ht="12.75" x14ac:dyDescent="0.2">
      <c r="A168" s="14" t="s">
        <v>2565</v>
      </c>
      <c r="B168" s="14" t="s">
        <v>2678</v>
      </c>
      <c r="C168" s="14" t="s">
        <v>2758</v>
      </c>
      <c r="D168" s="16">
        <v>46132</v>
      </c>
      <c r="E168" s="16"/>
      <c r="F168" s="14" t="s">
        <v>2626</v>
      </c>
      <c r="G168" s="14"/>
      <c r="H168" s="14" t="s">
        <v>2575</v>
      </c>
      <c r="I168" s="15">
        <v>300</v>
      </c>
      <c r="J168" s="77">
        <v>2</v>
      </c>
      <c r="K168" s="92"/>
    </row>
    <row r="169" spans="1:11" ht="22.5" x14ac:dyDescent="0.2">
      <c r="A169" s="14" t="s">
        <v>2565</v>
      </c>
      <c r="B169" s="14" t="s">
        <v>2678</v>
      </c>
      <c r="C169" s="14"/>
      <c r="D169" s="16">
        <v>46136</v>
      </c>
      <c r="E169" s="16"/>
      <c r="F169" s="14" t="s">
        <v>2759</v>
      </c>
      <c r="G169" s="14"/>
      <c r="H169" s="14" t="s">
        <v>2760</v>
      </c>
      <c r="I169" s="15">
        <v>1050</v>
      </c>
      <c r="J169" s="77">
        <v>3</v>
      </c>
      <c r="K169" s="92"/>
    </row>
    <row r="170" spans="1:11" ht="22.5" x14ac:dyDescent="0.2">
      <c r="A170" s="14" t="s">
        <v>2565</v>
      </c>
      <c r="B170" s="14" t="s">
        <v>2678</v>
      </c>
      <c r="C170" s="14"/>
      <c r="D170" s="16">
        <v>46139</v>
      </c>
      <c r="E170" s="16"/>
      <c r="F170" s="14" t="s">
        <v>2761</v>
      </c>
      <c r="G170" s="14"/>
      <c r="H170" s="14" t="s">
        <v>2762</v>
      </c>
      <c r="I170" s="15">
        <v>130</v>
      </c>
      <c r="J170" s="77">
        <v>2</v>
      </c>
      <c r="K170" s="92"/>
    </row>
    <row r="171" spans="1:11" ht="22.5" x14ac:dyDescent="0.2">
      <c r="A171" s="14" t="s">
        <v>2565</v>
      </c>
      <c r="B171" s="14" t="s">
        <v>2763</v>
      </c>
      <c r="C171" s="14"/>
      <c r="D171" s="16">
        <v>46140</v>
      </c>
      <c r="E171" s="16"/>
      <c r="F171" s="14" t="s">
        <v>2764</v>
      </c>
      <c r="G171" s="14"/>
      <c r="H171" s="14" t="s">
        <v>2765</v>
      </c>
      <c r="I171" s="15">
        <v>1500</v>
      </c>
      <c r="J171" s="77">
        <v>3</v>
      </c>
      <c r="K171" s="92"/>
    </row>
    <row r="172" spans="1:11" ht="22.5" x14ac:dyDescent="0.2">
      <c r="A172" s="14" t="s">
        <v>2565</v>
      </c>
      <c r="B172" s="14" t="s">
        <v>2766</v>
      </c>
      <c r="C172" s="14" t="s">
        <v>2767</v>
      </c>
      <c r="D172" s="16">
        <v>46141</v>
      </c>
      <c r="E172" s="16"/>
      <c r="F172" s="14" t="s">
        <v>2768</v>
      </c>
      <c r="G172" s="14" t="s">
        <v>2723</v>
      </c>
      <c r="H172" s="14" t="s">
        <v>2724</v>
      </c>
      <c r="I172" s="15">
        <v>2000</v>
      </c>
      <c r="J172" s="77">
        <v>3</v>
      </c>
      <c r="K172" s="92"/>
    </row>
    <row r="173" spans="1:11" ht="22.5" x14ac:dyDescent="0.2">
      <c r="A173" s="14" t="s">
        <v>2565</v>
      </c>
      <c r="B173" s="14" t="s">
        <v>2678</v>
      </c>
      <c r="C173" s="14" t="s">
        <v>495</v>
      </c>
      <c r="D173" s="16">
        <v>46141</v>
      </c>
      <c r="E173" s="16"/>
      <c r="F173" s="14" t="s">
        <v>2769</v>
      </c>
      <c r="G173" s="14" t="s">
        <v>2603</v>
      </c>
      <c r="H173" s="14" t="s">
        <v>2604</v>
      </c>
      <c r="I173" s="15">
        <v>256.35000000000002</v>
      </c>
      <c r="J173" s="77">
        <v>2</v>
      </c>
      <c r="K173" s="92"/>
    </row>
    <row r="174" spans="1:11" ht="12.75" x14ac:dyDescent="0.2">
      <c r="A174" s="14" t="s">
        <v>2565</v>
      </c>
      <c r="B174" s="14" t="s">
        <v>2678</v>
      </c>
      <c r="C174" s="14" t="s">
        <v>495</v>
      </c>
      <c r="D174" s="16">
        <v>46141</v>
      </c>
      <c r="E174" s="16"/>
      <c r="F174" s="14" t="s">
        <v>2770</v>
      </c>
      <c r="G174" s="14" t="s">
        <v>2609</v>
      </c>
      <c r="H174" s="14" t="s">
        <v>2610</v>
      </c>
      <c r="I174" s="15">
        <v>448.42</v>
      </c>
      <c r="J174" s="77">
        <v>4</v>
      </c>
      <c r="K174" s="92"/>
    </row>
    <row r="175" spans="1:11" ht="22.5" x14ac:dyDescent="0.2">
      <c r="A175" s="14" t="s">
        <v>2565</v>
      </c>
      <c r="B175" s="14" t="s">
        <v>2771</v>
      </c>
      <c r="C175" s="14"/>
      <c r="D175" s="16">
        <v>46141</v>
      </c>
      <c r="E175" s="16"/>
      <c r="F175" s="14" t="s">
        <v>2772</v>
      </c>
      <c r="G175" s="14" t="s">
        <v>2773</v>
      </c>
      <c r="H175" s="14" t="s">
        <v>2774</v>
      </c>
      <c r="I175" s="15">
        <v>332.68</v>
      </c>
      <c r="J175" s="77">
        <v>1</v>
      </c>
      <c r="K175" s="92"/>
    </row>
    <row r="176" spans="1:11" ht="12.75" x14ac:dyDescent="0.2">
      <c r="A176" s="14" t="s">
        <v>2565</v>
      </c>
      <c r="B176" s="14" t="s">
        <v>2775</v>
      </c>
      <c r="C176" s="14"/>
      <c r="D176" s="16">
        <v>46142</v>
      </c>
      <c r="E176" s="16"/>
      <c r="F176" s="14" t="s">
        <v>2567</v>
      </c>
      <c r="G176" s="14" t="s">
        <v>2568</v>
      </c>
      <c r="H176" s="14" t="s">
        <v>2569</v>
      </c>
      <c r="I176" s="15">
        <v>9.15</v>
      </c>
      <c r="J176" s="77">
        <v>4</v>
      </c>
      <c r="K176" s="92"/>
    </row>
    <row r="177" spans="1:11" ht="22.5" x14ac:dyDescent="0.2">
      <c r="A177" s="14" t="s">
        <v>2565</v>
      </c>
      <c r="B177" s="14" t="s">
        <v>2776</v>
      </c>
      <c r="C177" s="14" t="s">
        <v>2777</v>
      </c>
      <c r="D177" s="16">
        <v>46147</v>
      </c>
      <c r="E177" s="16"/>
      <c r="F177" s="14" t="s">
        <v>2778</v>
      </c>
      <c r="G177" s="14" t="s">
        <v>2779</v>
      </c>
      <c r="H177" s="14" t="s">
        <v>2780</v>
      </c>
      <c r="I177" s="15">
        <v>1245</v>
      </c>
      <c r="J177" s="77">
        <v>3</v>
      </c>
      <c r="K177" s="92"/>
    </row>
    <row r="178" spans="1:11" ht="33.75" x14ac:dyDescent="0.2">
      <c r="A178" s="14" t="s">
        <v>2565</v>
      </c>
      <c r="B178" s="14" t="s">
        <v>2781</v>
      </c>
      <c r="C178" s="14" t="s">
        <v>2782</v>
      </c>
      <c r="D178" s="16">
        <v>46147</v>
      </c>
      <c r="E178" s="16"/>
      <c r="F178" s="14" t="s">
        <v>2783</v>
      </c>
      <c r="G178" s="14" t="s">
        <v>2745</v>
      </c>
      <c r="H178" s="14" t="s">
        <v>2746</v>
      </c>
      <c r="I178" s="15">
        <v>2000</v>
      </c>
      <c r="J178" s="77">
        <v>5</v>
      </c>
      <c r="K178" s="92"/>
    </row>
    <row r="179" spans="1:11" ht="12.75" x14ac:dyDescent="0.2">
      <c r="A179" s="14" t="s">
        <v>2565</v>
      </c>
      <c r="B179" s="14" t="s">
        <v>2776</v>
      </c>
      <c r="C179" s="14" t="s">
        <v>2784</v>
      </c>
      <c r="D179" s="16">
        <v>46147</v>
      </c>
      <c r="E179" s="16"/>
      <c r="F179" s="14" t="s">
        <v>2785</v>
      </c>
      <c r="G179" s="14"/>
      <c r="H179" s="14" t="s">
        <v>2575</v>
      </c>
      <c r="I179" s="15">
        <v>1008.85</v>
      </c>
      <c r="J179" s="77">
        <v>2</v>
      </c>
      <c r="K179" s="92"/>
    </row>
    <row r="180" spans="1:11" ht="12.75" x14ac:dyDescent="0.2">
      <c r="A180" s="14" t="s">
        <v>2565</v>
      </c>
      <c r="B180" s="14" t="s">
        <v>2786</v>
      </c>
      <c r="C180" s="14" t="s">
        <v>2787</v>
      </c>
      <c r="D180" s="16">
        <v>46153</v>
      </c>
      <c r="E180" s="16"/>
      <c r="F180" s="14" t="s">
        <v>2788</v>
      </c>
      <c r="G180" s="14" t="s">
        <v>2773</v>
      </c>
      <c r="H180" s="14" t="s">
        <v>2774</v>
      </c>
      <c r="I180" s="15">
        <v>930</v>
      </c>
      <c r="J180" s="77">
        <v>3</v>
      </c>
      <c r="K180" s="92"/>
    </row>
    <row r="181" spans="1:11" ht="22.5" x14ac:dyDescent="0.2">
      <c r="A181" s="14" t="s">
        <v>2565</v>
      </c>
      <c r="B181" s="14" t="s">
        <v>2789</v>
      </c>
      <c r="C181" s="14" t="s">
        <v>2790</v>
      </c>
      <c r="D181" s="16">
        <v>46153</v>
      </c>
      <c r="E181" s="16"/>
      <c r="F181" s="14" t="s">
        <v>2791</v>
      </c>
      <c r="G181" s="14" t="s">
        <v>2792</v>
      </c>
      <c r="H181" s="14" t="s">
        <v>2793</v>
      </c>
      <c r="I181" s="15">
        <v>1600</v>
      </c>
      <c r="J181" s="77">
        <v>1</v>
      </c>
      <c r="K181" s="92"/>
    </row>
    <row r="182" spans="1:11" ht="22.5" x14ac:dyDescent="0.2">
      <c r="A182" s="14" t="s">
        <v>2565</v>
      </c>
      <c r="B182" s="14" t="s">
        <v>2794</v>
      </c>
      <c r="C182" s="14" t="s">
        <v>2795</v>
      </c>
      <c r="D182" s="16">
        <v>46153</v>
      </c>
      <c r="E182" s="16">
        <v>46150</v>
      </c>
      <c r="F182" s="14" t="s">
        <v>2796</v>
      </c>
      <c r="G182" s="14"/>
      <c r="H182" s="14" t="s">
        <v>2648</v>
      </c>
      <c r="I182" s="15">
        <v>340</v>
      </c>
      <c r="J182" s="77">
        <v>3</v>
      </c>
      <c r="K182" s="92"/>
    </row>
    <row r="183" spans="1:11" ht="22.5" x14ac:dyDescent="0.2">
      <c r="A183" s="14" t="s">
        <v>2565</v>
      </c>
      <c r="B183" s="14" t="s">
        <v>2797</v>
      </c>
      <c r="C183" s="14" t="s">
        <v>2798</v>
      </c>
      <c r="D183" s="16">
        <v>46154</v>
      </c>
      <c r="E183" s="16"/>
      <c r="F183" s="14" t="s">
        <v>2799</v>
      </c>
      <c r="G183" s="14" t="s">
        <v>2792</v>
      </c>
      <c r="H183" s="14" t="s">
        <v>2793</v>
      </c>
      <c r="I183" s="15">
        <v>800</v>
      </c>
      <c r="J183" s="77">
        <v>1</v>
      </c>
      <c r="K183" s="92"/>
    </row>
    <row r="184" spans="1:11" ht="22.5" x14ac:dyDescent="0.2">
      <c r="A184" s="14" t="s">
        <v>2565</v>
      </c>
      <c r="B184" s="14" t="s">
        <v>2800</v>
      </c>
      <c r="C184" s="14"/>
      <c r="D184" s="16">
        <v>46161</v>
      </c>
      <c r="E184" s="16"/>
      <c r="F184" s="14" t="s">
        <v>2801</v>
      </c>
      <c r="G184" s="14"/>
      <c r="H184" s="14" t="s">
        <v>2802</v>
      </c>
      <c r="I184" s="15">
        <v>130</v>
      </c>
      <c r="J184" s="77">
        <v>1</v>
      </c>
      <c r="K184" s="92"/>
    </row>
    <row r="185" spans="1:11" ht="22.5" x14ac:dyDescent="0.2">
      <c r="A185" s="14" t="s">
        <v>2565</v>
      </c>
      <c r="B185" s="14" t="s">
        <v>2800</v>
      </c>
      <c r="C185" s="14" t="s">
        <v>2803</v>
      </c>
      <c r="D185" s="16">
        <v>46163</v>
      </c>
      <c r="E185" s="16"/>
      <c r="F185" s="14" t="s">
        <v>2804</v>
      </c>
      <c r="G185" s="14" t="s">
        <v>2603</v>
      </c>
      <c r="H185" s="14" t="s">
        <v>2604</v>
      </c>
      <c r="I185" s="15">
        <v>109</v>
      </c>
      <c r="J185" s="77">
        <v>1</v>
      </c>
      <c r="K185" s="92"/>
    </row>
    <row r="186" spans="1:11" ht="22.5" x14ac:dyDescent="0.2">
      <c r="A186" s="14" t="s">
        <v>2565</v>
      </c>
      <c r="B186" s="14" t="s">
        <v>2805</v>
      </c>
      <c r="C186" s="14" t="s">
        <v>2806</v>
      </c>
      <c r="D186" s="16">
        <v>46164</v>
      </c>
      <c r="E186" s="16"/>
      <c r="F186" s="14" t="s">
        <v>2807</v>
      </c>
      <c r="G186" s="14" t="s">
        <v>2660</v>
      </c>
      <c r="H186" s="14" t="s">
        <v>2661</v>
      </c>
      <c r="I186" s="15">
        <v>44.83</v>
      </c>
      <c r="J186" s="77">
        <v>5</v>
      </c>
      <c r="K186" s="92"/>
    </row>
    <row r="187" spans="1:11" ht="12.75" x14ac:dyDescent="0.2">
      <c r="A187" s="14" t="s">
        <v>2565</v>
      </c>
      <c r="B187" s="14" t="s">
        <v>2776</v>
      </c>
      <c r="C187" s="14" t="s">
        <v>2808</v>
      </c>
      <c r="D187" s="16">
        <v>46167</v>
      </c>
      <c r="E187" s="16"/>
      <c r="F187" s="14" t="s">
        <v>2809</v>
      </c>
      <c r="G187" s="14" t="s">
        <v>2810</v>
      </c>
      <c r="H187" s="14" t="s">
        <v>2811</v>
      </c>
      <c r="I187" s="15">
        <v>585.12</v>
      </c>
      <c r="J187" s="77">
        <v>4</v>
      </c>
      <c r="K187" s="92"/>
    </row>
    <row r="188" spans="1:11" ht="22.5" x14ac:dyDescent="0.2">
      <c r="A188" s="14" t="s">
        <v>2565</v>
      </c>
      <c r="B188" s="14" t="s">
        <v>2812</v>
      </c>
      <c r="C188" s="14" t="s">
        <v>2712</v>
      </c>
      <c r="D188" s="16">
        <v>46169</v>
      </c>
      <c r="E188" s="16"/>
      <c r="F188" s="14" t="s">
        <v>2813</v>
      </c>
      <c r="G188" s="14" t="s">
        <v>2723</v>
      </c>
      <c r="H188" s="14" t="s">
        <v>2724</v>
      </c>
      <c r="I188" s="15">
        <v>2000</v>
      </c>
      <c r="J188" s="77">
        <v>3</v>
      </c>
      <c r="K188" s="92"/>
    </row>
    <row r="189" spans="1:11" ht="12.75" x14ac:dyDescent="0.2">
      <c r="A189" s="14" t="s">
        <v>2565</v>
      </c>
      <c r="B189" s="14" t="s">
        <v>2814</v>
      </c>
      <c r="C189" s="14" t="s">
        <v>2815</v>
      </c>
      <c r="D189" s="16">
        <v>46171</v>
      </c>
      <c r="E189" s="16"/>
      <c r="F189" s="14" t="s">
        <v>2816</v>
      </c>
      <c r="G189" s="14" t="s">
        <v>2590</v>
      </c>
      <c r="H189" s="14" t="s">
        <v>2591</v>
      </c>
      <c r="I189" s="15">
        <v>312.86</v>
      </c>
      <c r="J189" s="77">
        <v>4</v>
      </c>
      <c r="K189" s="92"/>
    </row>
    <row r="190" spans="1:11" ht="12.75" x14ac:dyDescent="0.2">
      <c r="A190" s="14" t="s">
        <v>2565</v>
      </c>
      <c r="B190" s="14" t="s">
        <v>2776</v>
      </c>
      <c r="C190" s="14"/>
      <c r="D190" s="16">
        <v>46172</v>
      </c>
      <c r="E190" s="16"/>
      <c r="F190" s="14" t="s">
        <v>2567</v>
      </c>
      <c r="G190" s="14" t="s">
        <v>2568</v>
      </c>
      <c r="H190" s="14" t="s">
        <v>2569</v>
      </c>
      <c r="I190" s="15">
        <v>9.4</v>
      </c>
      <c r="J190" s="77">
        <v>4</v>
      </c>
      <c r="K190" s="92"/>
    </row>
    <row r="191" spans="1:11" ht="22.5" x14ac:dyDescent="0.2">
      <c r="A191" s="14" t="s">
        <v>2565</v>
      </c>
      <c r="B191" s="14" t="s">
        <v>2817</v>
      </c>
      <c r="C191" s="14" t="s">
        <v>2818</v>
      </c>
      <c r="D191" s="16">
        <v>46174</v>
      </c>
      <c r="E191" s="16"/>
      <c r="F191" s="14" t="s">
        <v>2823</v>
      </c>
      <c r="G191" s="14" t="s">
        <v>2819</v>
      </c>
      <c r="H191" s="14" t="s">
        <v>2820</v>
      </c>
      <c r="I191" s="15">
        <v>97.17</v>
      </c>
      <c r="J191" s="77">
        <v>3</v>
      </c>
      <c r="K191" s="92"/>
    </row>
    <row r="192" spans="1:11" ht="12.75" x14ac:dyDescent="0.2">
      <c r="A192" s="14" t="s">
        <v>2565</v>
      </c>
      <c r="B192" s="14" t="s">
        <v>2821</v>
      </c>
      <c r="C192" s="14" t="s">
        <v>2822</v>
      </c>
      <c r="D192" s="16">
        <v>46174</v>
      </c>
      <c r="E192" s="16"/>
      <c r="F192" s="14" t="s">
        <v>2824</v>
      </c>
      <c r="G192" s="14" t="s">
        <v>2825</v>
      </c>
      <c r="H192" s="14" t="s">
        <v>2826</v>
      </c>
      <c r="I192" s="15">
        <v>590.4</v>
      </c>
      <c r="J192" s="77">
        <v>3</v>
      </c>
      <c r="K192" s="92"/>
    </row>
    <row r="193" spans="1:11" ht="12.75" x14ac:dyDescent="0.2">
      <c r="A193" s="14" t="s">
        <v>2565</v>
      </c>
      <c r="B193" s="14" t="s">
        <v>2827</v>
      </c>
      <c r="C193" s="14" t="s">
        <v>2782</v>
      </c>
      <c r="D193" s="16">
        <v>46175</v>
      </c>
      <c r="E193" s="16"/>
      <c r="F193" s="14" t="s">
        <v>2574</v>
      </c>
      <c r="G193" s="14"/>
      <c r="H193" s="14" t="s">
        <v>2575</v>
      </c>
      <c r="I193" s="15">
        <v>1280.79</v>
      </c>
      <c r="J193" s="77">
        <v>2</v>
      </c>
      <c r="K193" s="92"/>
    </row>
    <row r="194" spans="1:11" ht="22.5" x14ac:dyDescent="0.2">
      <c r="A194" s="14" t="s">
        <v>2565</v>
      </c>
      <c r="B194" s="14" t="s">
        <v>2828</v>
      </c>
      <c r="C194" s="14" t="s">
        <v>2829</v>
      </c>
      <c r="D194" s="16">
        <v>46181</v>
      </c>
      <c r="E194" s="16"/>
      <c r="F194" s="14" t="s">
        <v>2830</v>
      </c>
      <c r="G194" s="14" t="s">
        <v>2745</v>
      </c>
      <c r="H194" s="14" t="s">
        <v>2746</v>
      </c>
      <c r="I194" s="15">
        <v>1000</v>
      </c>
      <c r="J194" s="77">
        <v>2</v>
      </c>
      <c r="K194" s="92"/>
    </row>
    <row r="195" spans="1:11" ht="22.5" x14ac:dyDescent="0.2">
      <c r="A195" s="14" t="s">
        <v>2565</v>
      </c>
      <c r="B195" s="14" t="s">
        <v>2828</v>
      </c>
      <c r="C195" s="14" t="s">
        <v>2829</v>
      </c>
      <c r="D195" s="16">
        <v>46181</v>
      </c>
      <c r="E195" s="16"/>
      <c r="F195" s="14" t="s">
        <v>2831</v>
      </c>
      <c r="G195" s="14" t="s">
        <v>2745</v>
      </c>
      <c r="H195" s="14" t="s">
        <v>2746</v>
      </c>
      <c r="I195" s="15">
        <v>1000</v>
      </c>
      <c r="J195" s="77">
        <v>5</v>
      </c>
      <c r="K195" s="92"/>
    </row>
    <row r="196" spans="1:11" ht="22.5" x14ac:dyDescent="0.2">
      <c r="A196" s="14" t="s">
        <v>2565</v>
      </c>
      <c r="B196" s="14" t="s">
        <v>2827</v>
      </c>
      <c r="C196" s="14"/>
      <c r="D196" s="16">
        <v>46182</v>
      </c>
      <c r="E196" s="16"/>
      <c r="F196" s="14" t="s">
        <v>2832</v>
      </c>
      <c r="G196" s="14"/>
      <c r="H196" s="14" t="s">
        <v>2686</v>
      </c>
      <c r="I196" s="15">
        <v>750</v>
      </c>
      <c r="J196" s="77">
        <v>1</v>
      </c>
      <c r="K196" s="92"/>
    </row>
    <row r="197" spans="1:11" ht="22.5" x14ac:dyDescent="0.2">
      <c r="A197" s="14" t="s">
        <v>2565</v>
      </c>
      <c r="B197" s="14" t="s">
        <v>2827</v>
      </c>
      <c r="C197" s="14"/>
      <c r="D197" s="16">
        <v>46182</v>
      </c>
      <c r="E197" s="16"/>
      <c r="F197" s="14" t="s">
        <v>2833</v>
      </c>
      <c r="G197" s="14"/>
      <c r="H197" s="14" t="s">
        <v>2686</v>
      </c>
      <c r="I197" s="15">
        <v>250</v>
      </c>
      <c r="J197" s="77">
        <v>3</v>
      </c>
      <c r="K197" s="92"/>
    </row>
    <row r="198" spans="1:11" ht="22.5" x14ac:dyDescent="0.2">
      <c r="A198" s="14" t="s">
        <v>2565</v>
      </c>
      <c r="B198" s="14" t="s">
        <v>2834</v>
      </c>
      <c r="C198" s="14" t="s">
        <v>2837</v>
      </c>
      <c r="D198" s="16">
        <v>46183</v>
      </c>
      <c r="E198" s="16"/>
      <c r="F198" s="14" t="s">
        <v>2835</v>
      </c>
      <c r="G198" s="14" t="s">
        <v>2704</v>
      </c>
      <c r="H198" s="14" t="s">
        <v>2705</v>
      </c>
      <c r="I198" s="15">
        <v>79.95</v>
      </c>
      <c r="J198" s="77">
        <v>5</v>
      </c>
      <c r="K198" s="92"/>
    </row>
    <row r="199" spans="1:11" ht="22.5" x14ac:dyDescent="0.2">
      <c r="A199" s="14" t="s">
        <v>2565</v>
      </c>
      <c r="B199" s="14" t="s">
        <v>2836</v>
      </c>
      <c r="C199" s="14" t="s">
        <v>2838</v>
      </c>
      <c r="D199" s="16">
        <v>46183</v>
      </c>
      <c r="E199" s="16"/>
      <c r="F199" s="14" t="s">
        <v>2858</v>
      </c>
      <c r="G199" s="14" t="s">
        <v>2660</v>
      </c>
      <c r="H199" s="14" t="s">
        <v>2661</v>
      </c>
      <c r="I199" s="15">
        <v>43.17</v>
      </c>
      <c r="J199" s="77">
        <v>5</v>
      </c>
      <c r="K199" s="92"/>
    </row>
    <row r="200" spans="1:11" ht="22.5" x14ac:dyDescent="0.2">
      <c r="A200" s="14" t="s">
        <v>2565</v>
      </c>
      <c r="B200" s="14" t="s">
        <v>2839</v>
      </c>
      <c r="C200" s="14" t="s">
        <v>2840</v>
      </c>
      <c r="D200" s="16">
        <v>46183</v>
      </c>
      <c r="E200" s="16"/>
      <c r="F200" s="14" t="s">
        <v>2841</v>
      </c>
      <c r="G200" s="14" t="s">
        <v>2603</v>
      </c>
      <c r="H200" s="14" t="s">
        <v>2604</v>
      </c>
      <c r="I200" s="15">
        <v>109</v>
      </c>
      <c r="J200" s="77">
        <v>2</v>
      </c>
      <c r="K200" s="92"/>
    </row>
    <row r="201" spans="1:11" ht="22.5" x14ac:dyDescent="0.2">
      <c r="A201" s="14" t="s">
        <v>2565</v>
      </c>
      <c r="B201" s="14" t="s">
        <v>2842</v>
      </c>
      <c r="C201" s="14" t="s">
        <v>2843</v>
      </c>
      <c r="D201" s="16">
        <v>46185</v>
      </c>
      <c r="E201" s="16"/>
      <c r="F201" s="14" t="s">
        <v>2844</v>
      </c>
      <c r="G201" s="14" t="s">
        <v>2709</v>
      </c>
      <c r="H201" s="14" t="s">
        <v>2710</v>
      </c>
      <c r="I201" s="15">
        <v>1222.99</v>
      </c>
      <c r="J201" s="77">
        <v>3</v>
      </c>
      <c r="K201" s="92"/>
    </row>
    <row r="202" spans="1:11" ht="33.75" x14ac:dyDescent="0.2">
      <c r="A202" s="14" t="s">
        <v>2565</v>
      </c>
      <c r="B202" s="14" t="s">
        <v>2847</v>
      </c>
      <c r="C202" s="14" t="s">
        <v>2845</v>
      </c>
      <c r="D202" s="16">
        <v>46188</v>
      </c>
      <c r="E202" s="16"/>
      <c r="F202" s="14" t="s">
        <v>2846</v>
      </c>
      <c r="G202" s="14" t="s">
        <v>2640</v>
      </c>
      <c r="H202" s="14" t="s">
        <v>2641</v>
      </c>
      <c r="I202" s="15">
        <v>60.13</v>
      </c>
      <c r="J202" s="77">
        <v>5</v>
      </c>
      <c r="K202" s="92"/>
    </row>
    <row r="203" spans="1:11" ht="12.75" x14ac:dyDescent="0.2">
      <c r="A203" s="14" t="s">
        <v>2565</v>
      </c>
      <c r="B203" s="14" t="s">
        <v>2848</v>
      </c>
      <c r="C203" s="14" t="s">
        <v>2849</v>
      </c>
      <c r="D203" s="16">
        <v>46188</v>
      </c>
      <c r="E203" s="16"/>
      <c r="F203" s="14" t="s">
        <v>2850</v>
      </c>
      <c r="G203" s="14" t="s">
        <v>2773</v>
      </c>
      <c r="H203" s="14" t="s">
        <v>2774</v>
      </c>
      <c r="I203" s="15">
        <v>117.54</v>
      </c>
      <c r="J203" s="77">
        <v>1</v>
      </c>
      <c r="K203" s="92"/>
    </row>
    <row r="204" spans="1:11" ht="22.5" x14ac:dyDescent="0.2">
      <c r="A204" s="14" t="s">
        <v>2565</v>
      </c>
      <c r="B204" s="14" t="s">
        <v>2827</v>
      </c>
      <c r="C204" s="14" t="s">
        <v>2851</v>
      </c>
      <c r="D204" s="16">
        <v>46191</v>
      </c>
      <c r="E204" s="16"/>
      <c r="F204" s="14" t="s">
        <v>2852</v>
      </c>
      <c r="G204" s="14" t="s">
        <v>2603</v>
      </c>
      <c r="H204" s="14" t="s">
        <v>2604</v>
      </c>
      <c r="I204" s="15">
        <v>109</v>
      </c>
      <c r="J204" s="77">
        <v>1</v>
      </c>
      <c r="K204" s="92"/>
    </row>
    <row r="205" spans="1:11" ht="22.5" x14ac:dyDescent="0.2">
      <c r="A205" s="14" t="s">
        <v>2565</v>
      </c>
      <c r="B205" s="14" t="s">
        <v>2853</v>
      </c>
      <c r="C205" s="14" t="s">
        <v>2854</v>
      </c>
      <c r="D205" s="16">
        <v>46191</v>
      </c>
      <c r="E205" s="16"/>
      <c r="F205" s="14" t="s">
        <v>2855</v>
      </c>
      <c r="G205" s="14" t="s">
        <v>2773</v>
      </c>
      <c r="H205" s="14" t="s">
        <v>2774</v>
      </c>
      <c r="I205" s="15">
        <v>1297.2</v>
      </c>
      <c r="J205" s="77">
        <v>3</v>
      </c>
      <c r="K205" s="92"/>
    </row>
    <row r="206" spans="1:11" ht="22.5" x14ac:dyDescent="0.2">
      <c r="A206" s="14" t="s">
        <v>2565</v>
      </c>
      <c r="B206" s="14" t="s">
        <v>2856</v>
      </c>
      <c r="C206" s="14" t="s">
        <v>2857</v>
      </c>
      <c r="D206" s="16">
        <v>46198</v>
      </c>
      <c r="E206" s="16"/>
      <c r="F206" s="14" t="s">
        <v>2858</v>
      </c>
      <c r="G206" s="14" t="s">
        <v>2660</v>
      </c>
      <c r="H206" s="14" t="s">
        <v>2661</v>
      </c>
      <c r="I206" s="15">
        <v>48.15</v>
      </c>
      <c r="J206" s="77">
        <v>3</v>
      </c>
      <c r="K206" s="92"/>
    </row>
    <row r="207" spans="1:11" ht="22.5" x14ac:dyDescent="0.2">
      <c r="A207" s="14" t="s">
        <v>2565</v>
      </c>
      <c r="B207" s="14" t="s">
        <v>2827</v>
      </c>
      <c r="C207" s="14" t="s">
        <v>2859</v>
      </c>
      <c r="D207" s="16">
        <v>46191</v>
      </c>
      <c r="E207" s="16"/>
      <c r="F207" s="14" t="s">
        <v>2860</v>
      </c>
      <c r="G207" s="14" t="s">
        <v>2603</v>
      </c>
      <c r="H207" s="14" t="s">
        <v>2604</v>
      </c>
      <c r="I207" s="15">
        <v>109</v>
      </c>
      <c r="J207" s="77">
        <v>1</v>
      </c>
      <c r="K207" s="92"/>
    </row>
    <row r="208" spans="1:11" ht="22.5" x14ac:dyDescent="0.2">
      <c r="A208" s="14" t="s">
        <v>2565</v>
      </c>
      <c r="B208" s="14" t="s">
        <v>2827</v>
      </c>
      <c r="C208" s="14" t="s">
        <v>2642</v>
      </c>
      <c r="D208" s="16">
        <v>46203</v>
      </c>
      <c r="E208" s="16"/>
      <c r="F208" s="14" t="s">
        <v>2643</v>
      </c>
      <c r="G208" s="14" t="s">
        <v>2644</v>
      </c>
      <c r="H208" s="14" t="s">
        <v>2645</v>
      </c>
      <c r="I208" s="15">
        <v>450</v>
      </c>
      <c r="J208" s="77">
        <v>3</v>
      </c>
      <c r="K208" s="92"/>
    </row>
    <row r="209" spans="1:11" ht="12.75" x14ac:dyDescent="0.2">
      <c r="A209" s="14" t="s">
        <v>2565</v>
      </c>
      <c r="B209" s="14" t="s">
        <v>2827</v>
      </c>
      <c r="C209" s="14"/>
      <c r="D209" s="16">
        <v>46203</v>
      </c>
      <c r="E209" s="16"/>
      <c r="F209" s="14" t="s">
        <v>2567</v>
      </c>
      <c r="G209" s="14" t="s">
        <v>2568</v>
      </c>
      <c r="H209" s="14" t="s">
        <v>2569</v>
      </c>
      <c r="I209" s="15">
        <v>8.6</v>
      </c>
      <c r="J209" s="77">
        <v>4</v>
      </c>
      <c r="K209" s="92"/>
    </row>
    <row r="210" spans="1:11" ht="12.75" x14ac:dyDescent="0.2">
      <c r="A210" s="14" t="s">
        <v>2565</v>
      </c>
      <c r="B210" s="14" t="s">
        <v>2861</v>
      </c>
      <c r="C210" s="14" t="s">
        <v>2862</v>
      </c>
      <c r="D210" s="16">
        <v>46206</v>
      </c>
      <c r="E210" s="16"/>
      <c r="F210" s="14" t="s">
        <v>2863</v>
      </c>
      <c r="G210" s="14" t="s">
        <v>2864</v>
      </c>
      <c r="H210" s="14" t="s">
        <v>2865</v>
      </c>
      <c r="I210" s="15">
        <v>116.85</v>
      </c>
      <c r="J210" s="77">
        <v>4</v>
      </c>
      <c r="K210" s="92"/>
    </row>
    <row r="211" spans="1:11" ht="33.75" x14ac:dyDescent="0.2">
      <c r="A211" s="14" t="s">
        <v>2565</v>
      </c>
      <c r="B211" s="14" t="s">
        <v>2866</v>
      </c>
      <c r="C211" s="14" t="s">
        <v>2867</v>
      </c>
      <c r="D211" s="16">
        <v>46206</v>
      </c>
      <c r="E211" s="16"/>
      <c r="F211" s="14" t="s">
        <v>2868</v>
      </c>
      <c r="G211" s="14" t="s">
        <v>2745</v>
      </c>
      <c r="H211" s="14" t="s">
        <v>2869</v>
      </c>
      <c r="I211" s="15">
        <v>2000</v>
      </c>
      <c r="J211" s="77">
        <v>5</v>
      </c>
      <c r="K211" s="92"/>
    </row>
    <row r="212" spans="1:11" ht="33.75" x14ac:dyDescent="0.2">
      <c r="A212" s="14" t="s">
        <v>2565</v>
      </c>
      <c r="B212" s="14" t="s">
        <v>2870</v>
      </c>
      <c r="C212" s="14"/>
      <c r="D212" s="16">
        <v>46210</v>
      </c>
      <c r="E212" s="16"/>
      <c r="F212" s="14" t="s">
        <v>2871</v>
      </c>
      <c r="G212" s="14"/>
      <c r="H212" s="14" t="s">
        <v>2872</v>
      </c>
      <c r="I212" s="15">
        <v>130</v>
      </c>
      <c r="J212" s="77">
        <v>1</v>
      </c>
      <c r="K212" s="92"/>
    </row>
    <row r="213" spans="1:11" ht="22.5" x14ac:dyDescent="0.2">
      <c r="A213" s="14" t="s">
        <v>2565</v>
      </c>
      <c r="B213" s="14" t="s">
        <v>2873</v>
      </c>
      <c r="C213" s="14" t="s">
        <v>2874</v>
      </c>
      <c r="D213" s="16">
        <v>46210</v>
      </c>
      <c r="E213" s="16"/>
      <c r="F213" s="14" t="s">
        <v>2875</v>
      </c>
      <c r="G213" s="14" t="s">
        <v>2876</v>
      </c>
      <c r="H213" s="14" t="s">
        <v>2765</v>
      </c>
      <c r="I213" s="15">
        <v>1500</v>
      </c>
      <c r="J213" s="77">
        <v>5</v>
      </c>
      <c r="K213" s="92"/>
    </row>
    <row r="214" spans="1:11" ht="22.5" x14ac:dyDescent="0.2">
      <c r="A214" s="14" t="s">
        <v>2565</v>
      </c>
      <c r="B214" s="14" t="s">
        <v>2877</v>
      </c>
      <c r="C214" s="14" t="s">
        <v>2878</v>
      </c>
      <c r="D214" s="16">
        <v>46211</v>
      </c>
      <c r="E214" s="16"/>
      <c r="F214" s="14" t="s">
        <v>2879</v>
      </c>
      <c r="G214" s="14" t="s">
        <v>2723</v>
      </c>
      <c r="H214" s="14" t="s">
        <v>2724</v>
      </c>
      <c r="I214" s="15">
        <v>2000</v>
      </c>
      <c r="J214" s="77">
        <v>3</v>
      </c>
      <c r="K214" s="92"/>
    </row>
    <row r="215" spans="1:11" ht="12.75" x14ac:dyDescent="0.2">
      <c r="A215" s="14" t="s">
        <v>2565</v>
      </c>
      <c r="B215" s="14" t="s">
        <v>2870</v>
      </c>
      <c r="C215" s="14"/>
      <c r="D215" s="16">
        <v>46212</v>
      </c>
      <c r="E215" s="16"/>
      <c r="F215" s="14" t="s">
        <v>2880</v>
      </c>
      <c r="G215" s="14"/>
      <c r="H215" s="14" t="s">
        <v>2575</v>
      </c>
      <c r="I215" s="15">
        <v>500</v>
      </c>
      <c r="J215" s="77">
        <v>2</v>
      </c>
      <c r="K215" s="92"/>
    </row>
    <row r="216" spans="1:11" ht="56.25" x14ac:dyDescent="0.2">
      <c r="A216" s="14" t="s">
        <v>2565</v>
      </c>
      <c r="B216" s="14" t="s">
        <v>2881</v>
      </c>
      <c r="C216" s="14" t="s">
        <v>2882</v>
      </c>
      <c r="D216" s="16">
        <v>46223</v>
      </c>
      <c r="E216" s="16"/>
      <c r="F216" s="14" t="s">
        <v>2883</v>
      </c>
      <c r="G216" s="14"/>
      <c r="H216" s="14" t="s">
        <v>2727</v>
      </c>
      <c r="I216" s="15">
        <v>2325</v>
      </c>
      <c r="J216" s="77">
        <v>3</v>
      </c>
      <c r="K216" s="92"/>
    </row>
    <row r="217" spans="1:11" ht="22.5" x14ac:dyDescent="0.2">
      <c r="A217" s="14" t="s">
        <v>2565</v>
      </c>
      <c r="B217" s="14" t="s">
        <v>2884</v>
      </c>
      <c r="C217" s="14" t="s">
        <v>2885</v>
      </c>
      <c r="D217" s="16">
        <v>46223</v>
      </c>
      <c r="E217" s="16"/>
      <c r="F217" s="14" t="s">
        <v>2886</v>
      </c>
      <c r="G217" s="14" t="s">
        <v>2876</v>
      </c>
      <c r="H217" s="14" t="s">
        <v>2765</v>
      </c>
      <c r="I217" s="15">
        <v>1500</v>
      </c>
      <c r="J217" s="77">
        <v>5</v>
      </c>
      <c r="K217" s="92"/>
    </row>
    <row r="218" spans="1:11" ht="22.5" x14ac:dyDescent="0.2">
      <c r="A218" s="14" t="s">
        <v>2565</v>
      </c>
      <c r="B218" s="14" t="s">
        <v>2887</v>
      </c>
      <c r="C218" s="14" t="s">
        <v>2888</v>
      </c>
      <c r="D218" s="16">
        <v>46223</v>
      </c>
      <c r="E218" s="16"/>
      <c r="F218" s="14" t="s">
        <v>2889</v>
      </c>
      <c r="G218" s="14" t="s">
        <v>2888</v>
      </c>
      <c r="H218" s="14" t="s">
        <v>2774</v>
      </c>
      <c r="I218" s="15">
        <v>1029.48</v>
      </c>
      <c r="J218" s="77">
        <v>3</v>
      </c>
      <c r="K218" s="92"/>
    </row>
    <row r="219" spans="1:11" ht="22.5" x14ac:dyDescent="0.2">
      <c r="A219" s="14" t="s">
        <v>2565</v>
      </c>
      <c r="B219" s="14" t="s">
        <v>2890</v>
      </c>
      <c r="C219" s="14" t="s">
        <v>2891</v>
      </c>
      <c r="D219" s="16">
        <v>46223</v>
      </c>
      <c r="E219" s="16"/>
      <c r="F219" s="14" t="s">
        <v>2892</v>
      </c>
      <c r="G219" s="14" t="s">
        <v>2893</v>
      </c>
      <c r="H219" s="14" t="s">
        <v>2894</v>
      </c>
      <c r="I219" s="15">
        <v>32.69</v>
      </c>
      <c r="J219" s="77">
        <v>4</v>
      </c>
      <c r="K219" s="92"/>
    </row>
    <row r="220" spans="1:11" ht="22.5" x14ac:dyDescent="0.2">
      <c r="A220" s="14" t="s">
        <v>2565</v>
      </c>
      <c r="B220" s="14" t="s">
        <v>2895</v>
      </c>
      <c r="C220" s="14" t="s">
        <v>2896</v>
      </c>
      <c r="D220" s="16">
        <v>46223</v>
      </c>
      <c r="E220" s="16"/>
      <c r="F220" s="14" t="s">
        <v>2897</v>
      </c>
      <c r="G220" s="14" t="s">
        <v>2896</v>
      </c>
      <c r="H220" s="14" t="s">
        <v>2898</v>
      </c>
      <c r="I220" s="15">
        <v>1318.5</v>
      </c>
      <c r="J220" s="77">
        <v>1</v>
      </c>
      <c r="K220" s="92"/>
    </row>
    <row r="221" spans="1:11" ht="22.5" x14ac:dyDescent="0.2">
      <c r="A221" s="14" t="s">
        <v>2565</v>
      </c>
      <c r="B221" s="14" t="s">
        <v>2899</v>
      </c>
      <c r="C221" s="14" t="s">
        <v>2900</v>
      </c>
      <c r="D221" s="16">
        <v>46223</v>
      </c>
      <c r="E221" s="16"/>
      <c r="F221" s="14" t="s">
        <v>2901</v>
      </c>
      <c r="G221" s="14" t="s">
        <v>2888</v>
      </c>
      <c r="H221" s="14" t="s">
        <v>2774</v>
      </c>
      <c r="I221" s="15">
        <v>16.73</v>
      </c>
      <c r="J221" s="77">
        <v>1</v>
      </c>
      <c r="K221" s="92"/>
    </row>
    <row r="222" spans="1:11" ht="22.5" x14ac:dyDescent="0.2">
      <c r="A222" s="14" t="s">
        <v>2565</v>
      </c>
      <c r="B222" s="14" t="s">
        <v>2902</v>
      </c>
      <c r="C222" s="14" t="s">
        <v>2903</v>
      </c>
      <c r="D222" s="16">
        <v>46224</v>
      </c>
      <c r="E222" s="16"/>
      <c r="F222" s="14" t="s">
        <v>2904</v>
      </c>
      <c r="G222" s="14" t="s">
        <v>2640</v>
      </c>
      <c r="H222" s="14" t="s">
        <v>2641</v>
      </c>
      <c r="I222" s="15">
        <v>61.5</v>
      </c>
      <c r="J222" s="77">
        <v>3</v>
      </c>
      <c r="K222" s="92"/>
    </row>
    <row r="223" spans="1:11" ht="22.5" x14ac:dyDescent="0.2">
      <c r="A223" s="14" t="s">
        <v>2565</v>
      </c>
      <c r="B223" s="14" t="s">
        <v>2905</v>
      </c>
      <c r="C223" s="14" t="s">
        <v>2906</v>
      </c>
      <c r="D223" s="16">
        <v>46224</v>
      </c>
      <c r="E223" s="16"/>
      <c r="F223" s="14" t="s">
        <v>2858</v>
      </c>
      <c r="G223" s="14" t="s">
        <v>2660</v>
      </c>
      <c r="H223" s="14" t="s">
        <v>2661</v>
      </c>
      <c r="I223" s="15">
        <v>78.040000000000006</v>
      </c>
      <c r="J223" s="77">
        <v>5</v>
      </c>
      <c r="K223" s="92"/>
    </row>
    <row r="224" spans="1:11" ht="25.5" x14ac:dyDescent="0.2">
      <c r="A224" s="14" t="s">
        <v>2565</v>
      </c>
      <c r="B224" s="14" t="s">
        <v>2907</v>
      </c>
      <c r="C224" s="14" t="s">
        <v>2908</v>
      </c>
      <c r="D224" s="16">
        <v>46224</v>
      </c>
      <c r="E224" s="16"/>
      <c r="F224" s="14" t="s">
        <v>2909</v>
      </c>
      <c r="G224" s="322">
        <v>35400811</v>
      </c>
      <c r="H224" s="322" t="s">
        <v>2910</v>
      </c>
      <c r="I224" s="15">
        <v>88</v>
      </c>
      <c r="J224" s="77">
        <v>1</v>
      </c>
      <c r="K224" s="92"/>
    </row>
    <row r="225" spans="1:11" ht="25.5" x14ac:dyDescent="0.2">
      <c r="A225" s="14" t="s">
        <v>2565</v>
      </c>
      <c r="B225" s="14" t="s">
        <v>2911</v>
      </c>
      <c r="C225" s="14" t="s">
        <v>2693</v>
      </c>
      <c r="D225" s="16">
        <v>46224</v>
      </c>
      <c r="E225" s="16"/>
      <c r="F225" s="322" t="s">
        <v>2912</v>
      </c>
      <c r="G225" s="14" t="s">
        <v>2914</v>
      </c>
      <c r="H225" s="14" t="s">
        <v>2913</v>
      </c>
      <c r="I225" s="15">
        <v>850</v>
      </c>
      <c r="J225" s="77">
        <v>5</v>
      </c>
      <c r="K225" s="92"/>
    </row>
    <row r="226" spans="1:11" ht="25.5" x14ac:dyDescent="0.2">
      <c r="A226" s="14" t="s">
        <v>2565</v>
      </c>
      <c r="B226" s="14" t="s">
        <v>2915</v>
      </c>
      <c r="C226" s="14" t="s">
        <v>2917</v>
      </c>
      <c r="D226" s="16">
        <v>46224</v>
      </c>
      <c r="E226" s="16"/>
      <c r="F226" s="322" t="s">
        <v>2918</v>
      </c>
      <c r="G226" s="14" t="s">
        <v>2792</v>
      </c>
      <c r="H226" s="14" t="s">
        <v>2793</v>
      </c>
      <c r="I226" s="15">
        <v>1600</v>
      </c>
      <c r="J226" s="77">
        <v>1</v>
      </c>
      <c r="K226" s="92"/>
    </row>
    <row r="227" spans="1:11" ht="38.25" x14ac:dyDescent="0.2">
      <c r="A227" s="14" t="s">
        <v>2565</v>
      </c>
      <c r="B227" s="14" t="s">
        <v>2920</v>
      </c>
      <c r="C227" s="14" t="s">
        <v>2916</v>
      </c>
      <c r="D227" s="16">
        <v>46227</v>
      </c>
      <c r="E227" s="16"/>
      <c r="F227" s="322" t="s">
        <v>2919</v>
      </c>
      <c r="G227" s="14" t="s">
        <v>2745</v>
      </c>
      <c r="H227" s="14" t="s">
        <v>2746</v>
      </c>
      <c r="I227" s="15">
        <v>2000</v>
      </c>
      <c r="J227" s="77">
        <v>5</v>
      </c>
      <c r="K227" s="92"/>
    </row>
    <row r="228" spans="1:11" ht="38.25" x14ac:dyDescent="0.2">
      <c r="A228" s="14" t="s">
        <v>2565</v>
      </c>
      <c r="B228" s="14" t="s">
        <v>2921</v>
      </c>
      <c r="C228" s="14" t="s">
        <v>2922</v>
      </c>
      <c r="D228" s="16">
        <v>46227</v>
      </c>
      <c r="E228" s="16"/>
      <c r="F228" s="322" t="s">
        <v>2924</v>
      </c>
      <c r="G228" s="322">
        <v>43793509</v>
      </c>
      <c r="H228" s="322" t="s">
        <v>2923</v>
      </c>
      <c r="I228" s="15">
        <v>840</v>
      </c>
      <c r="J228" s="77">
        <v>1</v>
      </c>
      <c r="K228" s="92"/>
    </row>
    <row r="229" spans="1:11" ht="12.75" x14ac:dyDescent="0.2">
      <c r="A229" s="14" t="s">
        <v>2565</v>
      </c>
      <c r="B229" s="14" t="s">
        <v>2925</v>
      </c>
      <c r="C229" s="14" t="s">
        <v>2926</v>
      </c>
      <c r="D229" s="16">
        <v>46227</v>
      </c>
      <c r="E229" s="16"/>
      <c r="F229" s="14" t="s">
        <v>2927</v>
      </c>
      <c r="G229" s="14" t="s">
        <v>2590</v>
      </c>
      <c r="H229" s="14" t="s">
        <v>2591</v>
      </c>
      <c r="I229" s="15">
        <v>312.86</v>
      </c>
      <c r="J229" s="77">
        <v>4</v>
      </c>
      <c r="K229" s="92"/>
    </row>
    <row r="230" spans="1:11" ht="33.75" x14ac:dyDescent="0.2">
      <c r="A230" s="14" t="s">
        <v>2565</v>
      </c>
      <c r="B230" s="14" t="s">
        <v>2928</v>
      </c>
      <c r="C230" s="14" t="s">
        <v>2721</v>
      </c>
      <c r="D230" s="16">
        <v>46231</v>
      </c>
      <c r="E230" s="16"/>
      <c r="F230" s="14" t="s">
        <v>2929</v>
      </c>
      <c r="G230" s="322">
        <v>31942571</v>
      </c>
      <c r="H230" s="14" t="s">
        <v>2930</v>
      </c>
      <c r="I230" s="15">
        <v>1500</v>
      </c>
      <c r="J230" s="77">
        <v>5</v>
      </c>
      <c r="K230" s="92"/>
    </row>
    <row r="231" spans="1:11" ht="12.75" x14ac:dyDescent="0.2">
      <c r="A231" s="14" t="s">
        <v>2565</v>
      </c>
      <c r="B231" s="14" t="s">
        <v>2931</v>
      </c>
      <c r="C231" s="14" t="s">
        <v>2932</v>
      </c>
      <c r="D231" s="16">
        <v>46231</v>
      </c>
      <c r="E231" s="16"/>
      <c r="F231" s="14" t="s">
        <v>2933</v>
      </c>
      <c r="G231" s="14"/>
      <c r="H231" s="14" t="s">
        <v>2934</v>
      </c>
      <c r="I231" s="15">
        <v>300</v>
      </c>
      <c r="J231" s="77">
        <v>2</v>
      </c>
      <c r="K231" s="92"/>
    </row>
    <row r="232" spans="1:11" ht="22.5" x14ac:dyDescent="0.2">
      <c r="A232" s="14" t="s">
        <v>2565</v>
      </c>
      <c r="B232" s="14" t="s">
        <v>2935</v>
      </c>
      <c r="C232" s="14" t="s">
        <v>2936</v>
      </c>
      <c r="D232" s="16">
        <v>46231</v>
      </c>
      <c r="E232" s="16"/>
      <c r="F232" s="14" t="s">
        <v>2937</v>
      </c>
      <c r="G232" s="14" t="s">
        <v>2939</v>
      </c>
      <c r="H232" s="14" t="s">
        <v>2938</v>
      </c>
      <c r="I232" s="15">
        <v>234.62</v>
      </c>
      <c r="J232" s="77">
        <v>3</v>
      </c>
      <c r="K232" s="92"/>
    </row>
    <row r="233" spans="1:11" ht="12.75" x14ac:dyDescent="0.2">
      <c r="A233" s="14" t="s">
        <v>2565</v>
      </c>
      <c r="B233" s="14" t="s">
        <v>2940</v>
      </c>
      <c r="C233" s="14" t="s">
        <v>2867</v>
      </c>
      <c r="D233" s="16">
        <v>46231</v>
      </c>
      <c r="E233" s="16"/>
      <c r="F233" s="14" t="s">
        <v>2941</v>
      </c>
      <c r="G233" s="14" t="s">
        <v>2943</v>
      </c>
      <c r="H233" s="14" t="s">
        <v>2942</v>
      </c>
      <c r="I233" s="15">
        <v>937.65</v>
      </c>
      <c r="J233" s="77">
        <v>4</v>
      </c>
      <c r="K233" s="92"/>
    </row>
    <row r="234" spans="1:11" ht="12.75" x14ac:dyDescent="0.2">
      <c r="A234" s="14" t="s">
        <v>2565</v>
      </c>
      <c r="B234" s="14" t="s">
        <v>2870</v>
      </c>
      <c r="C234" s="14" t="s">
        <v>2944</v>
      </c>
      <c r="D234" s="16">
        <v>46231</v>
      </c>
      <c r="E234" s="16"/>
      <c r="F234" s="14" t="s">
        <v>2945</v>
      </c>
      <c r="G234" s="14" t="s">
        <v>2611</v>
      </c>
      <c r="H234" s="14" t="s">
        <v>2612</v>
      </c>
      <c r="I234" s="15">
        <v>1854.08</v>
      </c>
      <c r="J234" s="77">
        <v>4</v>
      </c>
      <c r="K234" s="92"/>
    </row>
    <row r="235" spans="1:11" ht="22.5" x14ac:dyDescent="0.2">
      <c r="A235" s="14" t="s">
        <v>2565</v>
      </c>
      <c r="B235" s="14" t="s">
        <v>2870</v>
      </c>
      <c r="C235" s="14" t="s">
        <v>495</v>
      </c>
      <c r="D235" s="16">
        <v>46231</v>
      </c>
      <c r="E235" s="16"/>
      <c r="F235" s="14" t="s">
        <v>2946</v>
      </c>
      <c r="G235" s="14" t="s">
        <v>2603</v>
      </c>
      <c r="H235" s="14" t="s">
        <v>2604</v>
      </c>
      <c r="I235" s="15">
        <v>256.17</v>
      </c>
      <c r="J235" s="77">
        <v>2</v>
      </c>
      <c r="K235" s="92"/>
    </row>
    <row r="236" spans="1:11" ht="12.75" x14ac:dyDescent="0.2">
      <c r="A236" s="14" t="s">
        <v>2565</v>
      </c>
      <c r="B236" s="14" t="s">
        <v>2870</v>
      </c>
      <c r="C236" s="14"/>
      <c r="D236" s="16">
        <v>46231</v>
      </c>
      <c r="E236" s="16"/>
      <c r="F236" s="14" t="s">
        <v>2947</v>
      </c>
      <c r="G236" s="14" t="s">
        <v>2568</v>
      </c>
      <c r="H236" s="14" t="s">
        <v>2569</v>
      </c>
      <c r="I236" s="15">
        <v>96</v>
      </c>
      <c r="J236" s="77">
        <v>4</v>
      </c>
      <c r="K236" s="92"/>
    </row>
    <row r="237" spans="1:11" ht="12.75" x14ac:dyDescent="0.2">
      <c r="A237" s="14" t="s">
        <v>2565</v>
      </c>
      <c r="B237" s="14" t="s">
        <v>2870</v>
      </c>
      <c r="C237" s="14"/>
      <c r="D237" s="16">
        <v>46234</v>
      </c>
      <c r="E237" s="16"/>
      <c r="F237" s="14" t="s">
        <v>2567</v>
      </c>
      <c r="G237" s="14" t="s">
        <v>2568</v>
      </c>
      <c r="H237" s="14" t="s">
        <v>2569</v>
      </c>
      <c r="I237" s="15">
        <v>8.65</v>
      </c>
      <c r="J237" s="77">
        <v>4</v>
      </c>
      <c r="K237" s="92"/>
    </row>
    <row r="238" spans="1:11" ht="12.75" x14ac:dyDescent="0.2">
      <c r="A238" s="14"/>
      <c r="B238" s="14"/>
      <c r="C238" s="14"/>
      <c r="D238" s="16"/>
      <c r="E238" s="16"/>
      <c r="F238" s="14"/>
      <c r="G238" s="14"/>
      <c r="H238" s="14"/>
      <c r="I238" s="15"/>
      <c r="J238" s="77"/>
      <c r="K238" s="92"/>
    </row>
    <row r="239" spans="1:11" ht="12.75" x14ac:dyDescent="0.2">
      <c r="A239" s="14"/>
      <c r="B239" s="14"/>
      <c r="C239" s="14"/>
      <c r="D239" s="16"/>
      <c r="E239" s="16"/>
      <c r="F239" s="14"/>
      <c r="G239" s="14"/>
      <c r="H239" s="14"/>
      <c r="I239" s="15"/>
      <c r="J239" s="77"/>
      <c r="K239" s="92"/>
    </row>
    <row r="240" spans="1:11" ht="12.75" x14ac:dyDescent="0.2">
      <c r="A240" s="14"/>
      <c r="B240" s="14"/>
      <c r="C240" s="14"/>
      <c r="D240" s="16"/>
      <c r="E240" s="16"/>
      <c r="F240" s="14"/>
      <c r="G240" s="14"/>
      <c r="H240" s="14"/>
      <c r="I240" s="15"/>
      <c r="J240" s="77"/>
      <c r="K240" s="92"/>
    </row>
    <row r="241" spans="1:11" ht="12.75" x14ac:dyDescent="0.2">
      <c r="A241" s="14"/>
      <c r="B241" s="14"/>
      <c r="C241" s="14"/>
      <c r="D241" s="16"/>
      <c r="E241" s="16"/>
      <c r="F241" s="14"/>
      <c r="G241" s="14"/>
      <c r="H241" s="14"/>
      <c r="I241" s="15"/>
      <c r="J241" s="77"/>
      <c r="K241" s="92"/>
    </row>
    <row r="242" spans="1:11" ht="12.75" x14ac:dyDescent="0.2">
      <c r="A242" s="14"/>
      <c r="B242" s="14"/>
      <c r="C242" s="14"/>
      <c r="D242" s="16"/>
      <c r="E242" s="16"/>
      <c r="F242" s="14"/>
      <c r="G242" s="14"/>
      <c r="H242" s="14"/>
      <c r="I242" s="15"/>
      <c r="J242" s="77"/>
      <c r="K242" s="92"/>
    </row>
    <row r="243" spans="1:11" ht="12.75" x14ac:dyDescent="0.2">
      <c r="A243" s="14"/>
      <c r="B243" s="14"/>
      <c r="C243" s="14"/>
      <c r="D243" s="16"/>
      <c r="E243" s="16"/>
      <c r="F243" s="14"/>
      <c r="G243" s="14"/>
      <c r="H243" s="14"/>
      <c r="I243" s="15"/>
      <c r="J243" s="77"/>
      <c r="K243" s="92"/>
    </row>
    <row r="244" spans="1:11" ht="12.75" x14ac:dyDescent="0.2">
      <c r="A244" s="14"/>
      <c r="B244" s="14"/>
      <c r="C244" s="14"/>
      <c r="D244" s="16"/>
      <c r="E244" s="16"/>
      <c r="F244" s="14"/>
      <c r="G244" s="14"/>
      <c r="H244" s="14"/>
      <c r="I244" s="15"/>
      <c r="J244" s="77"/>
      <c r="K244" s="92"/>
    </row>
    <row r="245" spans="1:11" ht="12.75" x14ac:dyDescent="0.2">
      <c r="A245" s="14"/>
      <c r="B245" s="14"/>
      <c r="C245" s="14"/>
      <c r="D245" s="16"/>
      <c r="E245" s="16"/>
      <c r="F245" s="14"/>
      <c r="G245" s="14"/>
      <c r="H245" s="14"/>
      <c r="I245" s="15"/>
      <c r="J245" s="77"/>
      <c r="K245" s="92"/>
    </row>
    <row r="246" spans="1:11" ht="12.75" x14ac:dyDescent="0.2">
      <c r="A246" s="14"/>
      <c r="B246" s="14"/>
      <c r="C246" s="14"/>
      <c r="D246" s="16"/>
      <c r="E246" s="16"/>
      <c r="F246" s="14"/>
      <c r="G246" s="14"/>
      <c r="H246" s="14"/>
      <c r="I246" s="15"/>
      <c r="J246" s="77"/>
      <c r="K246" s="92"/>
    </row>
    <row r="247" spans="1:11" ht="12.75" x14ac:dyDescent="0.2">
      <c r="A247" s="14"/>
      <c r="B247" s="14"/>
      <c r="C247" s="14"/>
      <c r="D247" s="16"/>
      <c r="E247" s="16"/>
      <c r="F247" s="14"/>
      <c r="G247" s="14"/>
      <c r="H247" s="14"/>
      <c r="I247" s="15"/>
      <c r="J247" s="77"/>
      <c r="K247" s="92"/>
    </row>
    <row r="248" spans="1:11" ht="12.75" x14ac:dyDescent="0.2">
      <c r="A248" s="14"/>
      <c r="B248" s="14"/>
      <c r="C248" s="14"/>
      <c r="D248" s="16"/>
      <c r="E248" s="16"/>
      <c r="F248" s="14"/>
      <c r="G248" s="14"/>
      <c r="H248" s="14"/>
      <c r="I248" s="15"/>
      <c r="J248" s="77"/>
      <c r="K248" s="92"/>
    </row>
    <row r="249" spans="1:11" ht="12.75" x14ac:dyDescent="0.2">
      <c r="A249" s="14"/>
      <c r="B249" s="14"/>
      <c r="C249" s="14"/>
      <c r="D249" s="16"/>
      <c r="E249" s="16"/>
      <c r="F249" s="14"/>
      <c r="G249" s="14"/>
      <c r="H249" s="14"/>
      <c r="I249" s="15"/>
      <c r="J249" s="77"/>
      <c r="K249" s="92"/>
    </row>
    <row r="250" spans="1:11" ht="12.75" x14ac:dyDescent="0.2">
      <c r="A250" s="14"/>
      <c r="B250" s="14"/>
      <c r="C250" s="14"/>
      <c r="D250" s="16"/>
      <c r="E250" s="16"/>
      <c r="F250" s="14"/>
      <c r="G250" s="14"/>
      <c r="H250" s="14"/>
      <c r="I250" s="15"/>
      <c r="J250" s="77"/>
      <c r="K250" s="92"/>
    </row>
    <row r="251" spans="1:11" ht="12.75" x14ac:dyDescent="0.2">
      <c r="A251" s="14"/>
      <c r="B251" s="14"/>
      <c r="C251" s="14"/>
      <c r="D251" s="16"/>
      <c r="E251" s="16"/>
      <c r="F251" s="14"/>
      <c r="G251" s="14"/>
      <c r="H251" s="14"/>
      <c r="I251" s="15"/>
      <c r="J251" s="77"/>
      <c r="K251" s="92"/>
    </row>
    <row r="252" spans="1:11" ht="12.75" x14ac:dyDescent="0.2">
      <c r="A252" s="14"/>
      <c r="B252" s="14"/>
      <c r="C252" s="14"/>
      <c r="D252" s="16"/>
      <c r="E252" s="16"/>
      <c r="F252" s="14"/>
      <c r="G252" s="14"/>
      <c r="H252" s="14"/>
      <c r="I252" s="15"/>
      <c r="J252" s="77"/>
      <c r="K252" s="92"/>
    </row>
    <row r="253" spans="1:11" ht="12.75" x14ac:dyDescent="0.2">
      <c r="A253" s="14"/>
      <c r="B253" s="14"/>
      <c r="C253" s="14"/>
      <c r="D253" s="16"/>
      <c r="E253" s="16"/>
      <c r="F253" s="14"/>
      <c r="G253" s="14"/>
      <c r="H253" s="14"/>
      <c r="I253" s="15"/>
      <c r="J253" s="77"/>
      <c r="K253" s="92"/>
    </row>
    <row r="254" spans="1:11" ht="12.75" x14ac:dyDescent="0.2">
      <c r="A254" s="14"/>
      <c r="B254" s="14"/>
      <c r="C254" s="14"/>
      <c r="D254" s="16"/>
      <c r="E254" s="16"/>
      <c r="F254" s="14"/>
      <c r="G254" s="14"/>
      <c r="H254" s="14"/>
      <c r="I254" s="15"/>
      <c r="J254" s="77"/>
      <c r="K254" s="92"/>
    </row>
    <row r="255" spans="1:11" ht="12.75" x14ac:dyDescent="0.2">
      <c r="A255" s="14"/>
      <c r="B255" s="14"/>
      <c r="C255" s="14"/>
      <c r="D255" s="16"/>
      <c r="E255" s="16"/>
      <c r="F255" s="14"/>
      <c r="G255" s="14"/>
      <c r="H255" s="14"/>
      <c r="I255" s="15"/>
      <c r="J255" s="77"/>
      <c r="K255" s="92"/>
    </row>
    <row r="256" spans="1:11" ht="12.75" x14ac:dyDescent="0.2">
      <c r="A256" s="14"/>
      <c r="B256" s="14"/>
      <c r="C256" s="14"/>
      <c r="D256" s="16"/>
      <c r="E256" s="16"/>
      <c r="F256" s="14"/>
      <c r="G256" s="14"/>
      <c r="H256" s="14"/>
      <c r="I256" s="15"/>
      <c r="J256" s="77"/>
      <c r="K256" s="92"/>
    </row>
    <row r="257" spans="1:11" ht="12.75" x14ac:dyDescent="0.2">
      <c r="A257" s="14"/>
      <c r="B257" s="14"/>
      <c r="C257" s="14"/>
      <c r="D257" s="16"/>
      <c r="E257" s="16"/>
      <c r="F257" s="14"/>
      <c r="G257" s="14"/>
      <c r="H257" s="14"/>
      <c r="I257" s="15"/>
      <c r="J257" s="77"/>
      <c r="K257" s="92"/>
    </row>
    <row r="258" spans="1:11" ht="12.75" x14ac:dyDescent="0.2">
      <c r="A258" s="14"/>
      <c r="B258" s="14"/>
      <c r="C258" s="14"/>
      <c r="D258" s="16"/>
      <c r="E258" s="16"/>
      <c r="F258" s="14"/>
      <c r="G258" s="14"/>
      <c r="H258" s="14"/>
      <c r="I258" s="15"/>
      <c r="J258" s="77"/>
      <c r="K258" s="92"/>
    </row>
    <row r="259" spans="1:11" ht="12.75" x14ac:dyDescent="0.2">
      <c r="A259" s="14"/>
      <c r="B259" s="14"/>
      <c r="C259" s="14"/>
      <c r="D259" s="16"/>
      <c r="E259" s="16"/>
      <c r="F259" s="14"/>
      <c r="G259" s="14"/>
      <c r="H259" s="14"/>
      <c r="I259" s="15"/>
      <c r="J259" s="77"/>
      <c r="K259" s="92"/>
    </row>
    <row r="260" spans="1:11" ht="12.75" x14ac:dyDescent="0.2">
      <c r="A260" s="14"/>
      <c r="B260" s="14"/>
      <c r="C260" s="14"/>
      <c r="D260" s="16"/>
      <c r="E260" s="16"/>
      <c r="F260" s="14"/>
      <c r="G260" s="14"/>
      <c r="H260" s="14"/>
      <c r="I260" s="15"/>
      <c r="J260" s="77"/>
      <c r="K260" s="92"/>
    </row>
    <row r="261" spans="1:11" ht="12.75" x14ac:dyDescent="0.2">
      <c r="A261" s="14"/>
      <c r="B261" s="14"/>
      <c r="C261" s="14"/>
      <c r="D261" s="16"/>
      <c r="E261" s="16"/>
      <c r="F261" s="14"/>
      <c r="G261" s="14"/>
      <c r="H261" s="14"/>
      <c r="I261" s="15"/>
      <c r="J261" s="77"/>
      <c r="K261" s="92"/>
    </row>
    <row r="262" spans="1:11" ht="12.75" x14ac:dyDescent="0.2">
      <c r="A262" s="14"/>
      <c r="B262" s="14"/>
      <c r="C262" s="14"/>
      <c r="D262" s="16"/>
      <c r="E262" s="16"/>
      <c r="F262" s="14"/>
      <c r="G262" s="14"/>
      <c r="H262" s="14"/>
      <c r="I262" s="15"/>
      <c r="J262" s="77"/>
      <c r="K262" s="92"/>
    </row>
    <row r="263" spans="1:11" ht="12.75" x14ac:dyDescent="0.2">
      <c r="A263" s="14"/>
      <c r="B263" s="14"/>
      <c r="C263" s="14"/>
      <c r="D263" s="16"/>
      <c r="E263" s="16"/>
      <c r="F263" s="14"/>
      <c r="G263" s="14"/>
      <c r="H263" s="14"/>
      <c r="I263" s="15"/>
      <c r="J263" s="77"/>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224 F229: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223 G225:G227 G229 G231: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B2" sqref="B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x14ac:dyDescent="0.2">
      <c r="A50" s="194" t="s">
        <v>2102</v>
      </c>
      <c r="B50" s="196" t="str">
        <f>VLOOKUP(A50,Adr!A:B,2,FALSE)</f>
        <v>Karate Klub IGLOW, o. z.</v>
      </c>
      <c r="C50" s="188" t="s">
        <v>1964</v>
      </c>
      <c r="D50" s="279">
        <v>5000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z.fBCelodenná súťaž Žiacka liga karate</v>
      </c>
      <c r="N50" s="3" t="str">
        <f t="shared" si="4"/>
        <v>35533099fB</v>
      </c>
    </row>
    <row r="51" spans="1:14" x14ac:dyDescent="0.2">
      <c r="A51" s="194" t="s">
        <v>2104</v>
      </c>
      <c r="B51" s="196" t="str">
        <f>VLOOKUP(A51,Adr!A:B,2,FALSE)</f>
        <v>Klub gymnastických športov Slávia Trnava</v>
      </c>
      <c r="C51" s="177" t="s">
        <v>1965</v>
      </c>
      <c r="D51" s="279">
        <v>15000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TrnavafB30. Festival pohybových skladieb - Gym Gala Show</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ht="22.5" x14ac:dyDescent="0.2">
      <c r="A56" s="158" t="s">
        <v>2133</v>
      </c>
      <c r="B56" s="196" t="str">
        <f>VLOOKUP(A56,Adr!A:B,2,FALSE)</f>
        <v xml:space="preserve">Letecko-raketomodelárska asociácia Slovenska o.z. </v>
      </c>
      <c r="C56" s="188" t="s">
        <v>1966</v>
      </c>
      <c r="D56" s="281">
        <v>12000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fBÚčasť reprezentantov na súťaži I. kategórie upútaných leteckých modelov (Majstrovstvá sveta FAI)</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94" t="s">
        <v>495</v>
      </c>
      <c r="B170" s="196" t="str">
        <f>VLOOKUP(A170,Adr!A:B,2,FALSE)</f>
        <v>Slovenská motocyklová federácia</v>
      </c>
      <c r="C170" s="177" t="s">
        <v>2433</v>
      </c>
      <c r="D170" s="279">
        <v>8000</v>
      </c>
      <c r="E170" s="165">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federáciadBUrbančok Šimon</v>
      </c>
      <c r="N170" s="3" t="str">
        <f t="shared" si="14"/>
        <v>30813883dB</v>
      </c>
    </row>
    <row r="171" spans="1:14" x14ac:dyDescent="0.2">
      <c r="A171" s="158" t="s">
        <v>505</v>
      </c>
      <c r="B171" s="196" t="str">
        <f>VLOOKUP(A171,Adr!A:B,2,FALSE)</f>
        <v xml:space="preserve">Slovenská Muaythai Asociácia </v>
      </c>
      <c r="C171" s="161" t="s">
        <v>964</v>
      </c>
      <c r="D171" s="281">
        <v>57860</v>
      </c>
      <c r="E171" s="165">
        <v>0</v>
      </c>
      <c r="F171" s="158" t="s">
        <v>240</v>
      </c>
      <c r="G171" s="161" t="s">
        <v>221</v>
      </c>
      <c r="H171" s="161" t="s">
        <v>914</v>
      </c>
      <c r="I171" s="184" t="str">
        <f t="shared" si="10"/>
        <v>34057587a</v>
      </c>
      <c r="J171" s="159" t="str">
        <f t="shared" si="11"/>
        <v>34057587026 02</v>
      </c>
      <c r="K171" s="5" t="s">
        <v>965</v>
      </c>
      <c r="L171" s="159" t="str">
        <f t="shared" si="12"/>
        <v>34057587026 02B</v>
      </c>
      <c r="M171" s="5" t="str">
        <f t="shared" si="13"/>
        <v>Slovenská Muaythai Asociácia aBthajský box - bežné transfery</v>
      </c>
      <c r="N171" s="3" t="str">
        <f t="shared" si="14"/>
        <v>34057587aB</v>
      </c>
    </row>
    <row r="172" spans="1:14" x14ac:dyDescent="0.2">
      <c r="A172" s="158" t="s">
        <v>505</v>
      </c>
      <c r="B172" s="196" t="str">
        <f>VLOOKUP(A172,Adr!A:B,2,FALSE)</f>
        <v xml:space="preserve">Slovenská Muaythai Asociácia </v>
      </c>
      <c r="C172" s="188" t="s">
        <v>2434</v>
      </c>
      <c r="D172" s="281">
        <v>8000</v>
      </c>
      <c r="E172" s="222">
        <v>0</v>
      </c>
      <c r="F172" s="158" t="s">
        <v>246</v>
      </c>
      <c r="G172" s="161" t="s">
        <v>223</v>
      </c>
      <c r="H172" s="161" t="s">
        <v>914</v>
      </c>
      <c r="I172" s="184" t="str">
        <f t="shared" si="10"/>
        <v>34057587d</v>
      </c>
      <c r="J172" s="159" t="str">
        <f t="shared" si="11"/>
        <v>34057587026 03</v>
      </c>
      <c r="K172" s="5"/>
      <c r="L172" s="159" t="str">
        <f t="shared" si="12"/>
        <v>34057587026 03B</v>
      </c>
      <c r="M172" s="5" t="str">
        <f t="shared" si="13"/>
        <v>Slovenská Muaythai Asociácia dBAfanasiev Stanislav</v>
      </c>
      <c r="N172" s="3" t="str">
        <f t="shared" si="14"/>
        <v>34057587dB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7" t="str">
        <f>Spolu!C3&amp;", "&amp;Spolu!C6</f>
        <v>Slovenská motocyklová federácia, Športovcov 340, Považská Bystrica, 017 01</v>
      </c>
      <c r="B1" s="377"/>
      <c r="C1" s="377"/>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8" t="s">
        <v>1134</v>
      </c>
      <c r="F3" s="379"/>
      <c r="N3" s="137" t="str">
        <f t="shared" si="0"/>
        <v>c - príspevok Slovenskému paralympijskému výboru</v>
      </c>
      <c r="O3" s="137" t="s">
        <v>244</v>
      </c>
      <c r="P3" s="137" t="s">
        <v>245</v>
      </c>
    </row>
    <row r="4" spans="1:16" ht="45.75" customHeight="1" x14ac:dyDescent="0.2">
      <c r="E4" s="379"/>
      <c r="F4" s="379"/>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80" t="s">
        <v>1146</v>
      </c>
      <c r="B12" s="380"/>
      <c r="C12" s="380"/>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1"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1"/>
      <c r="C14" s="381"/>
      <c r="F14" s="141"/>
      <c r="N14" s="137" t="str">
        <f t="shared" si="0"/>
        <v>n - organizovanie významnej súťaže podľa § 55 ods. 1 písm. b)</v>
      </c>
      <c r="O14" s="137" t="s">
        <v>265</v>
      </c>
      <c r="P14" s="137" t="s">
        <v>1148</v>
      </c>
    </row>
    <row r="15" spans="1:16" ht="32.1" customHeight="1" thickBot="1" x14ac:dyDescent="0.25">
      <c r="A15" s="139" t="s">
        <v>1149</v>
      </c>
      <c r="B15" s="382" t="s">
        <v>1150</v>
      </c>
      <c r="C15" s="383"/>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30813883</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6" t="s">
        <v>1160</v>
      </c>
      <c r="C22" s="376"/>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Admin</cp:lastModifiedBy>
  <cp:revision/>
  <cp:lastPrinted>2026-08-11T07:55:16Z</cp:lastPrinted>
  <dcterms:created xsi:type="dcterms:W3CDTF">2017-02-20T06:20:12Z</dcterms:created>
  <dcterms:modified xsi:type="dcterms:W3CDTF">2026-08-17T09:11:33Z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